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xml"/>
  <Override PartName="/xl/ctrlProps/ctrlProp3.xml" ContentType="application/vnd.ms-excel.controlpropertie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4.xml" ContentType="application/vnd.ms-excel.controlproperties+xml"/>
  <Override PartName="/xl/comments4.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5.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charts/chart9.xml" ContentType="application/vnd.openxmlformats-officedocument.drawingml.chart+xml"/>
  <Override PartName="/xl/drawings/drawing28.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7.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BK.BWL.NET\LEL\USERS\schroedergu\PROFILE\Desktop\"/>
    </mc:Choice>
  </mc:AlternateContent>
  <bookViews>
    <workbookView xWindow="0" yWindow="0" windowWidth="28800" windowHeight="12705" tabRatio="598" firstSheet="1" activeTab="1"/>
  </bookViews>
  <sheets>
    <sheet name="Tab1" sheetId="1" state="hidden" r:id="rId1"/>
    <sheet name="Deckbl" sheetId="2" r:id="rId2"/>
    <sheet name="Inhalt" sheetId="3" r:id="rId3"/>
    <sheet name="Hinweise" sheetId="4" r:id="rId4"/>
    <sheet name="Stammdaten" sheetId="5" r:id="rId5"/>
    <sheet name="Preise" sheetId="6" r:id="rId6"/>
    <sheet name="Ausgleichsleistungen" sheetId="7" r:id="rId7"/>
    <sheet name="DB-Übersicht" sheetId="8" r:id="rId8"/>
    <sheet name="Grafik-DB" sheetId="9" r:id="rId9"/>
    <sheet name="Grafik-Kost.deck.Erlös" sheetId="10" r:id="rId10"/>
    <sheet name="Grafik-DB-Färse" sheetId="11" r:id="rId11"/>
    <sheet name="FlV(a)" sheetId="12" r:id="rId12"/>
    <sheet name="FlV(b)" sheetId="13" r:id="rId13"/>
    <sheet name="FlV(Fol)" sheetId="14" r:id="rId14"/>
    <sheet name="Sbt(a)" sheetId="15" r:id="rId15"/>
    <sheet name="Sbt(b)" sheetId="16" r:id="rId16"/>
    <sheet name="Sbt(Fol)" sheetId="17" r:id="rId17"/>
    <sheet name="BrV(a)" sheetId="18" r:id="rId18"/>
    <sheet name="BrV(b)" sheetId="19" r:id="rId19"/>
    <sheet name="BrV(Fol)" sheetId="20" r:id="rId20"/>
    <sheet name="Färse(a)" sheetId="21" r:id="rId21"/>
    <sheet name="Färse(b)" sheetId="22" r:id="rId22"/>
    <sheet name="Färse(Fol)" sheetId="23" r:id="rId23"/>
    <sheet name="Strukturentwicklung" sheetId="24" r:id="rId24"/>
    <sheet name="Preisstatistik" sheetId="25" r:id="rId25"/>
    <sheet name="Preisstatistik (2)" sheetId="26" state="hidden" r:id="rId26"/>
    <sheet name="Kalkulationshilfen" sheetId="27" r:id="rId27"/>
    <sheet name="_Fu_bau_mit_Mwst" sheetId="28" state="hidden" r:id="rId28"/>
    <sheet name="Fu_bau_ohne_Mwst" sheetId="29" state="hidden" r:id="rId29"/>
    <sheet name="Fu_bau_differenz_Mwst" sheetId="30" state="hidden" r:id="rId30"/>
  </sheets>
  <definedNames>
    <definedName name="_xlnm.Print_Area" localSheetId="6">Ausgleichsleistungen!$B$2:$M$59</definedName>
    <definedName name="_xlnm.Print_Area" localSheetId="17">'BrV(a)'!$B$2:$O$69</definedName>
    <definedName name="_xlnm.Print_Area" localSheetId="18">'BrV(b)'!$B$2:$P$70</definedName>
    <definedName name="_xlnm.Print_Area" localSheetId="19">'BrV(Fol)'!$B$2:$T$93</definedName>
    <definedName name="_xlnm.Print_Area" localSheetId="7">'DB-Übersicht'!$A$3:$T$47</definedName>
    <definedName name="_xlnm.Print_Area" localSheetId="1">Deckbl!$C$2:$L$27</definedName>
    <definedName name="_xlnm.Print_Area" localSheetId="20">'Färse(a)'!$B$2:$Q$59,'Färse(a)'!$D$122:$R$158</definedName>
    <definedName name="_xlnm.Print_Area" localSheetId="21">'Färse(b)'!$B$2:$M$67</definedName>
    <definedName name="_xlnm.Print_Area" localSheetId="22">'Färse(Fol)'!$B$2:$T$64</definedName>
    <definedName name="_xlnm.Print_Area" localSheetId="11">'FlV(a)'!$B$2:$O$69</definedName>
    <definedName name="_xlnm.Print_Area" localSheetId="12">'FlV(b)'!$B$2:$P$70</definedName>
    <definedName name="_xlnm.Print_Area" localSheetId="13">'FlV(Fol)'!$B$2:$T$93</definedName>
    <definedName name="_xlnm.Print_Area" localSheetId="8">'Grafik-DB'!$B$2:$J$38</definedName>
    <definedName name="_xlnm.Print_Area" localSheetId="10">'Grafik-DB-Färse'!$B$2:$M$40</definedName>
    <definedName name="_xlnm.Print_Area" localSheetId="9">'Grafik-Kost.deck.Erlös'!$B$2:$L$39</definedName>
    <definedName name="_xlnm.Print_Area" localSheetId="3">Hinweise!$B$3:$BD$237</definedName>
    <definedName name="_xlnm.Print_Area" localSheetId="2">Inhalt!$B$2:$M$51</definedName>
    <definedName name="_xlnm.Print_Area" localSheetId="26">Kalkulationshilfen!$B$1:$K$143</definedName>
    <definedName name="_xlnm.Print_Area" localSheetId="5">Preise!$B$2:$N$83</definedName>
    <definedName name="_xlnm.Print_Area" localSheetId="24">Preisstatistik!$D$1:$P$56</definedName>
    <definedName name="_xlnm.Print_Area" localSheetId="25">'Preisstatistik (2)'!$C$6:$N$50</definedName>
    <definedName name="_xlnm.Print_Area" localSheetId="14">'Sbt(a)'!$B$2:$O$69</definedName>
    <definedName name="_xlnm.Print_Area" localSheetId="15">'Sbt(b)'!$B$2:$P$70</definedName>
    <definedName name="_xlnm.Print_Area" localSheetId="16">'Sbt(Fol)'!$B$2:$T$93</definedName>
    <definedName name="_xlnm.Print_Area" localSheetId="4">Stammdaten!$B$2:$P$80</definedName>
    <definedName name="_xlnm.Print_Area" localSheetId="23">Strukturentwicklung!$B$2:$I$169</definedName>
    <definedName name="_xlnm.Print_Titles" localSheetId="7">'DB-Übersicht'!$2:$3</definedName>
  </definedNames>
  <calcPr calcId="162913"/>
</workbook>
</file>

<file path=xl/calcChain.xml><?xml version="1.0" encoding="utf-8"?>
<calcChain xmlns="http://schemas.openxmlformats.org/spreadsheetml/2006/main">
  <c r="P40" i="5" l="1"/>
  <c r="P39" i="5"/>
  <c r="T60" i="6" l="1"/>
  <c r="U60" i="6"/>
  <c r="Y62" i="6"/>
  <c r="Y63" i="6"/>
  <c r="Y64" i="6"/>
  <c r="Y65" i="6"/>
  <c r="Y66" i="6"/>
  <c r="Y67" i="6"/>
  <c r="Y68" i="6"/>
  <c r="Y69" i="6"/>
  <c r="Y74" i="6"/>
  <c r="Y75" i="6"/>
  <c r="Y76" i="6"/>
  <c r="Y77" i="6"/>
  <c r="Y78" i="6"/>
  <c r="Y79" i="6"/>
  <c r="Y80" i="6"/>
  <c r="Y81" i="6"/>
  <c r="AS47" i="6" l="1"/>
  <c r="AR47" i="6"/>
  <c r="AL53" i="6"/>
  <c r="AK53" i="6"/>
  <c r="N20" i="5"/>
  <c r="N21" i="5"/>
  <c r="N22" i="5"/>
  <c r="N19" i="5"/>
  <c r="N23" i="5" l="1"/>
  <c r="L8" i="21"/>
  <c r="AC81" i="6" l="1"/>
  <c r="AC74" i="6"/>
  <c r="AC75" i="6"/>
  <c r="AC76" i="6"/>
  <c r="AC77" i="6"/>
  <c r="AC78" i="6"/>
  <c r="AC79" i="6"/>
  <c r="AC80" i="6"/>
  <c r="AK68" i="6"/>
  <c r="D56" i="12" l="1"/>
  <c r="J47" i="6" l="1"/>
  <c r="I47" i="6"/>
  <c r="K43" i="6" l="1"/>
  <c r="L43" i="6"/>
  <c r="G35" i="6" l="1"/>
  <c r="H35" i="6"/>
  <c r="I35" i="6"/>
  <c r="N93" i="20" l="1"/>
  <c r="N93" i="17"/>
  <c r="N93" i="14"/>
  <c r="N68" i="14"/>
  <c r="C68" i="13" l="1"/>
  <c r="C68" i="19"/>
  <c r="C68" i="16"/>
  <c r="N68" i="20" l="1"/>
  <c r="N81" i="20"/>
  <c r="N68" i="17"/>
  <c r="N81" i="17"/>
  <c r="N81" i="14"/>
  <c r="I62" i="6" l="1"/>
  <c r="I64" i="6"/>
  <c r="I65" i="6"/>
  <c r="J43" i="6" l="1"/>
  <c r="J39" i="6"/>
  <c r="J35" i="6"/>
  <c r="I76" i="6" l="1"/>
  <c r="AO21" i="6" l="1"/>
  <c r="AO20" i="6"/>
  <c r="AO19" i="6"/>
  <c r="AM21" i="6"/>
  <c r="AM20" i="6"/>
  <c r="AM19" i="6"/>
  <c r="W45" i="24" l="1"/>
  <c r="W46" i="24"/>
  <c r="H135" i="24"/>
  <c r="G72" i="24"/>
  <c r="I81" i="6" l="1"/>
  <c r="H81" i="6"/>
  <c r="G81" i="6"/>
  <c r="H76" i="6"/>
  <c r="G75" i="6"/>
  <c r="I74" i="6"/>
  <c r="H64" i="6"/>
  <c r="G64" i="6"/>
  <c r="G63" i="6"/>
  <c r="AR52" i="30" l="1"/>
  <c r="AS52" i="30"/>
  <c r="AQ52" i="30"/>
  <c r="AO52" i="30"/>
  <c r="AP52" i="30"/>
  <c r="AN52" i="30"/>
  <c r="AN62" i="30" s="1"/>
  <c r="AJ52" i="30"/>
  <c r="AK52" i="30"/>
  <c r="AL52" i="30" s="1"/>
  <c r="AI52" i="30"/>
  <c r="AI62" i="30" s="1"/>
  <c r="AF52" i="30"/>
  <c r="AG52" i="30"/>
  <c r="AE52" i="30"/>
  <c r="AB52" i="30"/>
  <c r="AC52" i="30"/>
  <c r="AD52" i="30" s="1"/>
  <c r="AA52" i="30"/>
  <c r="X52" i="30"/>
  <c r="X62" i="30" s="1"/>
  <c r="Y52" i="30"/>
  <c r="Y62" i="30" s="1"/>
  <c r="W52" i="30"/>
  <c r="T52" i="30"/>
  <c r="U52" i="30"/>
  <c r="S52" i="30"/>
  <c r="R52" i="30"/>
  <c r="P52" i="30"/>
  <c r="Q52" i="30" s="1"/>
  <c r="O52" i="30"/>
  <c r="J52" i="30"/>
  <c r="N52" i="30" s="1"/>
  <c r="K52" i="30"/>
  <c r="L52" i="30"/>
  <c r="M52" i="30"/>
  <c r="M62" i="30" s="1"/>
  <c r="I52" i="30"/>
  <c r="F52" i="30"/>
  <c r="F62" i="30" s="1"/>
  <c r="G52" i="30"/>
  <c r="G62" i="30" s="1"/>
  <c r="E52" i="30"/>
  <c r="AS22" i="30"/>
  <c r="AR22" i="30"/>
  <c r="AQ22" i="30"/>
  <c r="AO22" i="30"/>
  <c r="AN22" i="30"/>
  <c r="AM22" i="30"/>
  <c r="AK22" i="30"/>
  <c r="AJ22" i="30"/>
  <c r="AI22" i="30"/>
  <c r="AL22" i="30" s="1"/>
  <c r="AG22" i="30"/>
  <c r="AF22" i="30"/>
  <c r="AE22" i="30"/>
  <c r="AH22" i="30" s="1"/>
  <c r="AC22" i="30"/>
  <c r="AB22" i="30"/>
  <c r="AA22" i="30"/>
  <c r="Y22" i="30"/>
  <c r="X22" i="30"/>
  <c r="W22" i="30"/>
  <c r="Z22" i="30" s="1"/>
  <c r="U22" i="30"/>
  <c r="T22" i="30"/>
  <c r="S22" i="30"/>
  <c r="R22" i="30"/>
  <c r="P22" i="30"/>
  <c r="O22" i="30"/>
  <c r="Q22" i="30"/>
  <c r="M22" i="30"/>
  <c r="L22" i="30"/>
  <c r="K22" i="30"/>
  <c r="J22" i="30"/>
  <c r="I22" i="30"/>
  <c r="N22" i="30" s="1"/>
  <c r="G22" i="30"/>
  <c r="F22" i="30"/>
  <c r="E22" i="30"/>
  <c r="H22" i="30" s="1"/>
  <c r="AR27" i="30"/>
  <c r="AT27" i="30" s="1"/>
  <c r="AS27" i="30"/>
  <c r="AQ27" i="30"/>
  <c r="AN27" i="30"/>
  <c r="AO27" i="30"/>
  <c r="AM27" i="30"/>
  <c r="AB27" i="30"/>
  <c r="AC27" i="30"/>
  <c r="AA27" i="30"/>
  <c r="AD27" i="30" s="1"/>
  <c r="X27" i="30"/>
  <c r="Z27" i="30" s="1"/>
  <c r="Y27" i="30"/>
  <c r="W27" i="30"/>
  <c r="U27" i="30"/>
  <c r="T27" i="30"/>
  <c r="S27" i="30"/>
  <c r="P27" i="30"/>
  <c r="O27" i="30"/>
  <c r="Q27" i="30" s="1"/>
  <c r="R27" i="30"/>
  <c r="AG27" i="30"/>
  <c r="AF27" i="30"/>
  <c r="AE27" i="30"/>
  <c r="AH27" i="30" s="1"/>
  <c r="J27" i="30"/>
  <c r="K27" i="30"/>
  <c r="L27" i="30"/>
  <c r="M27" i="30"/>
  <c r="I27" i="30"/>
  <c r="BG27" i="30"/>
  <c r="BF27" i="30"/>
  <c r="BE27" i="30"/>
  <c r="BH27" i="30" s="1"/>
  <c r="AZ27" i="30"/>
  <c r="AY27" i="30"/>
  <c r="AX27" i="30"/>
  <c r="BA27" i="30" s="1"/>
  <c r="AK27" i="30"/>
  <c r="AJ27" i="30"/>
  <c r="AI27" i="30"/>
  <c r="F27" i="30"/>
  <c r="G27" i="30"/>
  <c r="E27" i="30"/>
  <c r="H27" i="30" s="1"/>
  <c r="V27" i="30"/>
  <c r="AP27" i="30"/>
  <c r="AL27" i="30"/>
  <c r="L62" i="30"/>
  <c r="O62" i="30"/>
  <c r="R62" i="30"/>
  <c r="S62" i="30"/>
  <c r="T62" i="30"/>
  <c r="U62" i="30"/>
  <c r="W62" i="30"/>
  <c r="AA62" i="30"/>
  <c r="AB62" i="30"/>
  <c r="AC62" i="30"/>
  <c r="AE62" i="30"/>
  <c r="AF62" i="30"/>
  <c r="AG62" i="30"/>
  <c r="AJ62" i="30"/>
  <c r="AO62" i="30"/>
  <c r="AP62" i="30"/>
  <c r="AQ62" i="30"/>
  <c r="AR62" i="30"/>
  <c r="AS62" i="30"/>
  <c r="AU55" i="30"/>
  <c r="AU62" i="30" s="1"/>
  <c r="AV55" i="30"/>
  <c r="AV62" i="30"/>
  <c r="AW55" i="30"/>
  <c r="AW62" i="30"/>
  <c r="AX55" i="30"/>
  <c r="AX62" i="30" s="1"/>
  <c r="AY55" i="30"/>
  <c r="AY62" i="30" s="1"/>
  <c r="AZ55" i="30"/>
  <c r="AZ62" i="30"/>
  <c r="BB55" i="30"/>
  <c r="BB62" i="30"/>
  <c r="BC55" i="30"/>
  <c r="BC62" i="30" s="1"/>
  <c r="BD55" i="30"/>
  <c r="BD62" i="30" s="1"/>
  <c r="BE55" i="30"/>
  <c r="BE62" i="30"/>
  <c r="BF55" i="30"/>
  <c r="BF62" i="30"/>
  <c r="BG55" i="30"/>
  <c r="BG62" i="30" s="1"/>
  <c r="BI55" i="30"/>
  <c r="BI62" i="30" s="1"/>
  <c r="BJ55" i="30"/>
  <c r="BJ62" i="30" s="1"/>
  <c r="BK55" i="30"/>
  <c r="BK62" i="30" s="1"/>
  <c r="BL55" i="30"/>
  <c r="BL62" i="30" s="1"/>
  <c r="BM55" i="30"/>
  <c r="BM62" i="30" s="1"/>
  <c r="BN55" i="30"/>
  <c r="BN62" i="30" s="1"/>
  <c r="BO55" i="30"/>
  <c r="BO62" i="30" s="1"/>
  <c r="BP55" i="30"/>
  <c r="BP62" i="30" s="1"/>
  <c r="BQ55" i="30"/>
  <c r="BQ62" i="30" s="1"/>
  <c r="BR55" i="30"/>
  <c r="BR62" i="30" s="1"/>
  <c r="BS55" i="30"/>
  <c r="BS62" i="30" s="1"/>
  <c r="BT55" i="30"/>
  <c r="BT62" i="30" s="1"/>
  <c r="BU55" i="30"/>
  <c r="BU62" i="30" s="1"/>
  <c r="BV55" i="30"/>
  <c r="BV62" i="30" s="1"/>
  <c r="BW55" i="30"/>
  <c r="BW62" i="30" s="1"/>
  <c r="BX55" i="30"/>
  <c r="BX62" i="30" s="1"/>
  <c r="BY55" i="30"/>
  <c r="BY62" i="30" s="1"/>
  <c r="BZ55" i="30"/>
  <c r="BZ62" i="30" s="1"/>
  <c r="CA55" i="30"/>
  <c r="CA62" i="30" s="1"/>
  <c r="CB55" i="30"/>
  <c r="CB62" i="30" s="1"/>
  <c r="CC55" i="30"/>
  <c r="CC62" i="30" s="1"/>
  <c r="CD55" i="30"/>
  <c r="CD62" i="30" s="1"/>
  <c r="CE55" i="30"/>
  <c r="CE62" i="30" s="1"/>
  <c r="CF55" i="30"/>
  <c r="CF62" i="30" s="1"/>
  <c r="CG55" i="30"/>
  <c r="CG62" i="30" s="1"/>
  <c r="CH55" i="30"/>
  <c r="CH62" i="30" s="1"/>
  <c r="CI55" i="30"/>
  <c r="CI62" i="30" s="1"/>
  <c r="CJ55" i="30"/>
  <c r="CJ62" i="30" s="1"/>
  <c r="CK55" i="30"/>
  <c r="CK62" i="30" s="1"/>
  <c r="CL55" i="30"/>
  <c r="CL62" i="30" s="1"/>
  <c r="CM55" i="30"/>
  <c r="CM62" i="30" s="1"/>
  <c r="CN55" i="30"/>
  <c r="CN62" i="30" s="1"/>
  <c r="CO55" i="30"/>
  <c r="CO62" i="30" s="1"/>
  <c r="CP55" i="30"/>
  <c r="CP62" i="30" s="1"/>
  <c r="CQ55" i="30"/>
  <c r="CQ62" i="30" s="1"/>
  <c r="CR55" i="30"/>
  <c r="CR62" i="30" s="1"/>
  <c r="CS55" i="30"/>
  <c r="CS62" i="30" s="1"/>
  <c r="CT55" i="30"/>
  <c r="CT62" i="30" s="1"/>
  <c r="CU55" i="30"/>
  <c r="CU62" i="30" s="1"/>
  <c r="CV55" i="30"/>
  <c r="CV62" i="30" s="1"/>
  <c r="CW55" i="30"/>
  <c r="CW62" i="30" s="1"/>
  <c r="CX55" i="30"/>
  <c r="CX62" i="30" s="1"/>
  <c r="CY55" i="30"/>
  <c r="CY62" i="30" s="1"/>
  <c r="CZ55" i="30"/>
  <c r="CZ62" i="30" s="1"/>
  <c r="I62" i="30"/>
  <c r="J62" i="30"/>
  <c r="K62" i="30"/>
  <c r="CV45" i="30"/>
  <c r="CW45" i="30"/>
  <c r="CX45" i="30"/>
  <c r="CY45" i="30"/>
  <c r="CZ45" i="30"/>
  <c r="CL45" i="30"/>
  <c r="CM45" i="30"/>
  <c r="CN45" i="30"/>
  <c r="CO45" i="30"/>
  <c r="CP45" i="30"/>
  <c r="CQ45" i="30"/>
  <c r="CR45" i="30"/>
  <c r="CS45" i="30"/>
  <c r="CT45" i="30"/>
  <c r="CU45" i="30"/>
  <c r="CJ45" i="30"/>
  <c r="CK45" i="30"/>
  <c r="CB45" i="30"/>
  <c r="CC45" i="30"/>
  <c r="CD45" i="30"/>
  <c r="CE45" i="30"/>
  <c r="CF45" i="30"/>
  <c r="CG45" i="30"/>
  <c r="CH45" i="30"/>
  <c r="CI45" i="30"/>
  <c r="BO45" i="30"/>
  <c r="BP45" i="30"/>
  <c r="BQ45" i="30"/>
  <c r="BR45" i="30"/>
  <c r="BS45" i="30"/>
  <c r="BT45" i="30"/>
  <c r="BU45" i="30"/>
  <c r="BV45" i="30"/>
  <c r="BW45" i="30"/>
  <c r="BX45" i="30"/>
  <c r="BY45" i="30"/>
  <c r="BZ45" i="30"/>
  <c r="CA45" i="30"/>
  <c r="BG45" i="30"/>
  <c r="BI45" i="30"/>
  <c r="BJ45" i="30"/>
  <c r="BK45" i="30"/>
  <c r="BL45" i="30"/>
  <c r="BM45" i="30"/>
  <c r="BN45" i="30"/>
  <c r="BD45" i="30"/>
  <c r="BE45" i="30"/>
  <c r="BF45" i="30"/>
  <c r="AW45" i="30"/>
  <c r="AX45" i="30"/>
  <c r="AY45" i="30"/>
  <c r="AZ45" i="30"/>
  <c r="BB45" i="30"/>
  <c r="BC45" i="30"/>
  <c r="O45" i="30"/>
  <c r="Q45" i="30" s="1"/>
  <c r="P45" i="30"/>
  <c r="R45" i="30"/>
  <c r="S45" i="30"/>
  <c r="T45" i="30"/>
  <c r="U45" i="30"/>
  <c r="W45" i="30"/>
  <c r="X45" i="30"/>
  <c r="Y45" i="30"/>
  <c r="AA45" i="30"/>
  <c r="AD45" i="30" s="1"/>
  <c r="AB45" i="30"/>
  <c r="AC45" i="30"/>
  <c r="AE45" i="30"/>
  <c r="AF45" i="30"/>
  <c r="AG45" i="30"/>
  <c r="AI45" i="30"/>
  <c r="AL45" i="30" s="1"/>
  <c r="AJ45" i="30"/>
  <c r="AK45" i="30"/>
  <c r="AN45" i="30"/>
  <c r="AO45" i="30"/>
  <c r="AP45" i="30"/>
  <c r="AQ45" i="30"/>
  <c r="AR45" i="30"/>
  <c r="AS45" i="30"/>
  <c r="AU45" i="30"/>
  <c r="AV45" i="30"/>
  <c r="F45" i="30"/>
  <c r="G45" i="30"/>
  <c r="I45" i="30"/>
  <c r="J45" i="30"/>
  <c r="K45" i="30"/>
  <c r="L45" i="30"/>
  <c r="M45" i="30"/>
  <c r="E45" i="30"/>
  <c r="H45" i="30" s="1"/>
  <c r="N5" i="6"/>
  <c r="P67" i="5"/>
  <c r="P59" i="5"/>
  <c r="P43" i="5"/>
  <c r="P16" i="5"/>
  <c r="S8" i="5"/>
  <c r="W44" i="24"/>
  <c r="F67" i="27"/>
  <c r="H67" i="27"/>
  <c r="I67" i="27"/>
  <c r="J67" i="27"/>
  <c r="K67" i="27"/>
  <c r="G67" i="27"/>
  <c r="O150" i="27"/>
  <c r="G78" i="27"/>
  <c r="BE50" i="6"/>
  <c r="BE53" i="6" s="1"/>
  <c r="H47" i="6"/>
  <c r="G47" i="6"/>
  <c r="I43" i="6"/>
  <c r="H43" i="6"/>
  <c r="G43" i="6"/>
  <c r="L39" i="6"/>
  <c r="K39" i="6"/>
  <c r="I39" i="6"/>
  <c r="H39" i="6"/>
  <c r="G39" i="6"/>
  <c r="L35" i="6"/>
  <c r="K35" i="6"/>
  <c r="V136" i="5"/>
  <c r="V131" i="5"/>
  <c r="AI31" i="5"/>
  <c r="AH31" i="5"/>
  <c r="AG31" i="5"/>
  <c r="L23" i="5"/>
  <c r="M23" i="5"/>
  <c r="K23" i="5"/>
  <c r="J23" i="5"/>
  <c r="O11" i="5"/>
  <c r="O10" i="5"/>
  <c r="O9" i="5"/>
  <c r="O8" i="5"/>
  <c r="O7" i="5"/>
  <c r="M12" i="6" s="1"/>
  <c r="AE15" i="5"/>
  <c r="AE14" i="5"/>
  <c r="AI13" i="5" s="1"/>
  <c r="AF5" i="5"/>
  <c r="AE5" i="5"/>
  <c r="AE7" i="5"/>
  <c r="AE8" i="5"/>
  <c r="AI5" i="5" s="1"/>
  <c r="O4" i="18" s="1"/>
  <c r="P4" i="19" s="1"/>
  <c r="S22" i="20" s="1"/>
  <c r="AE9" i="5"/>
  <c r="P9" i="5" s="1"/>
  <c r="AE10" i="5"/>
  <c r="P10" i="5" s="1"/>
  <c r="S10" i="5" s="1"/>
  <c r="AE11" i="5"/>
  <c r="P11" i="5" s="1"/>
  <c r="S11" i="5" s="1"/>
  <c r="AE6" i="5"/>
  <c r="DM29" i="6"/>
  <c r="DN26" i="6" s="1"/>
  <c r="DK29" i="6"/>
  <c r="DL26" i="6" s="1"/>
  <c r="BD44" i="24"/>
  <c r="BD45" i="24" s="1"/>
  <c r="BD46" i="24" s="1"/>
  <c r="BD47" i="24" s="1"/>
  <c r="BD48" i="24" s="1"/>
  <c r="BD49" i="24" s="1"/>
  <c r="BD50" i="24" s="1"/>
  <c r="BD51" i="24" s="1"/>
  <c r="BD52" i="24" s="1"/>
  <c r="BD53" i="24" s="1"/>
  <c r="BD54" i="24" s="1"/>
  <c r="BD55" i="24" s="1"/>
  <c r="BD56" i="24" s="1"/>
  <c r="BD57" i="24" s="1"/>
  <c r="BD58" i="24" s="1"/>
  <c r="BD59" i="24" s="1"/>
  <c r="BD60" i="24" s="1"/>
  <c r="BD61" i="24" s="1"/>
  <c r="BD62" i="24" s="1"/>
  <c r="BD63" i="24" s="1"/>
  <c r="BD64" i="24" s="1"/>
  <c r="BD65" i="24" s="1"/>
  <c r="BD66" i="24" s="1"/>
  <c r="BD67" i="24" s="1"/>
  <c r="BD68" i="24" s="1"/>
  <c r="BD69" i="24" s="1"/>
  <c r="BD70" i="24" s="1"/>
  <c r="BD71" i="24" s="1"/>
  <c r="BD72" i="24" s="1"/>
  <c r="BD73" i="24" s="1"/>
  <c r="BD74" i="24" s="1"/>
  <c r="BD75" i="24" s="1"/>
  <c r="BD76" i="24" s="1"/>
  <c r="BD77" i="24" s="1"/>
  <c r="BD78" i="24" s="1"/>
  <c r="BD79" i="24" s="1"/>
  <c r="BD80" i="24" s="1"/>
  <c r="BD81" i="24" s="1"/>
  <c r="BD82" i="24" s="1"/>
  <c r="BD83" i="24" s="1"/>
  <c r="BD84" i="24" s="1"/>
  <c r="BD85" i="24" s="1"/>
  <c r="BD86" i="24" s="1"/>
  <c r="BD87" i="24" s="1"/>
  <c r="BD88" i="24" s="1"/>
  <c r="BD89" i="24" s="1"/>
  <c r="BD90" i="24" s="1"/>
  <c r="BD91" i="24" s="1"/>
  <c r="BD92" i="24" s="1"/>
  <c r="BD93" i="24" s="1"/>
  <c r="BD94" i="24" s="1"/>
  <c r="BD95" i="24" s="1"/>
  <c r="BD96" i="24" s="1"/>
  <c r="BD97" i="24" s="1"/>
  <c r="BD98" i="24" s="1"/>
  <c r="BD99" i="24" s="1"/>
  <c r="BD100" i="24" s="1"/>
  <c r="BD101" i="24" s="1"/>
  <c r="BD102" i="24" s="1"/>
  <c r="BD103" i="24" s="1"/>
  <c r="BD104" i="24" s="1"/>
  <c r="BD105" i="24" s="1"/>
  <c r="BD106" i="24" s="1"/>
  <c r="BD107" i="24" s="1"/>
  <c r="BD108" i="24" s="1"/>
  <c r="BD109" i="24" s="1"/>
  <c r="BD110" i="24" s="1"/>
  <c r="BD111" i="24" s="1"/>
  <c r="BD112" i="24" s="1"/>
  <c r="BD113" i="24" s="1"/>
  <c r="BD114" i="24" s="1"/>
  <c r="BD115" i="24" s="1"/>
  <c r="BD116" i="24" s="1"/>
  <c r="BD117" i="24" s="1"/>
  <c r="BD118" i="24" s="1"/>
  <c r="BD119" i="24" s="1"/>
  <c r="BD120" i="24" s="1"/>
  <c r="BD121" i="24" s="1"/>
  <c r="BD122" i="24" s="1"/>
  <c r="BD123" i="24" s="1"/>
  <c r="BD124" i="24" s="1"/>
  <c r="BD125" i="24" s="1"/>
  <c r="BD126" i="24" s="1"/>
  <c r="BD127" i="24" s="1"/>
  <c r="BD128" i="24" s="1"/>
  <c r="BD129" i="24" s="1"/>
  <c r="BD130" i="24" s="1"/>
  <c r="BD131" i="24" s="1"/>
  <c r="BD132" i="24" s="1"/>
  <c r="BD133" i="24" s="1"/>
  <c r="BD134" i="24" s="1"/>
  <c r="BD135" i="24" s="1"/>
  <c r="BD136" i="24" s="1"/>
  <c r="BD137" i="24" s="1"/>
  <c r="BD138" i="24" s="1"/>
  <c r="BD139" i="24" s="1"/>
  <c r="BD140" i="24" s="1"/>
  <c r="BD141" i="24" s="1"/>
  <c r="BD142" i="24" s="1"/>
  <c r="BD143" i="24" s="1"/>
  <c r="BD144" i="24" s="1"/>
  <c r="BD145" i="24" s="1"/>
  <c r="BD146" i="24" s="1"/>
  <c r="BD147" i="24" s="1"/>
  <c r="BD148" i="24" s="1"/>
  <c r="BD149" i="24" s="1"/>
  <c r="BD150" i="24" s="1"/>
  <c r="BD151" i="24" s="1"/>
  <c r="BD152" i="24" s="1"/>
  <c r="BD153" i="24" s="1"/>
  <c r="BD154" i="24" s="1"/>
  <c r="BD155" i="24" s="1"/>
  <c r="BD156" i="24" s="1"/>
  <c r="BD157" i="24" s="1"/>
  <c r="W21" i="24"/>
  <c r="W22" i="24"/>
  <c r="W23" i="24"/>
  <c r="W24" i="24"/>
  <c r="W25" i="24"/>
  <c r="W26" i="24"/>
  <c r="W27" i="24"/>
  <c r="W28" i="24"/>
  <c r="W29" i="24"/>
  <c r="W30" i="24"/>
  <c r="W31" i="24"/>
  <c r="W32" i="24"/>
  <c r="W33" i="24"/>
  <c r="W34" i="24"/>
  <c r="W35" i="24"/>
  <c r="W36" i="24"/>
  <c r="W37" i="24"/>
  <c r="W38" i="24"/>
  <c r="W39" i="24"/>
  <c r="W40" i="24"/>
  <c r="W41" i="24"/>
  <c r="W42" i="24"/>
  <c r="W43" i="24"/>
  <c r="W15" i="24"/>
  <c r="W16" i="24"/>
  <c r="W17" i="24"/>
  <c r="W18" i="24"/>
  <c r="W19" i="24"/>
  <c r="W20" i="24"/>
  <c r="W14" i="24"/>
  <c r="G116" i="6"/>
  <c r="I116" i="6"/>
  <c r="F116" i="6"/>
  <c r="Q7" i="7"/>
  <c r="Q8" i="7"/>
  <c r="Q9" i="7"/>
  <c r="F24" i="18"/>
  <c r="E30" i="18"/>
  <c r="J30" i="18"/>
  <c r="L30" i="18"/>
  <c r="M39" i="8" s="1"/>
  <c r="N30" i="18"/>
  <c r="E31" i="18"/>
  <c r="E32" i="18"/>
  <c r="E34" i="18"/>
  <c r="D50" i="18"/>
  <c r="S50" i="18"/>
  <c r="AB50" i="18"/>
  <c r="AC50" i="18"/>
  <c r="AC57" i="18" s="1"/>
  <c r="AD50" i="18"/>
  <c r="AE50" i="18"/>
  <c r="AF50" i="18"/>
  <c r="AG50" i="18"/>
  <c r="AI50" i="18"/>
  <c r="AK50" i="18"/>
  <c r="AM50" i="18"/>
  <c r="AO50" i="18"/>
  <c r="AQ50" i="18"/>
  <c r="AS50" i="18"/>
  <c r="D53" i="18"/>
  <c r="S53" i="18"/>
  <c r="AB53" i="18"/>
  <c r="AC53" i="18"/>
  <c r="AD53" i="18"/>
  <c r="AE53" i="18"/>
  <c r="AE57" i="18" s="1"/>
  <c r="AF53" i="18"/>
  <c r="AI53" i="18"/>
  <c r="AK53" i="18"/>
  <c r="AM53" i="18"/>
  <c r="AO53" i="18"/>
  <c r="AQ53" i="18"/>
  <c r="AS53" i="18"/>
  <c r="D56" i="18"/>
  <c r="S56" i="18"/>
  <c r="AB56" i="18"/>
  <c r="AC56" i="18"/>
  <c r="AD56" i="18"/>
  <c r="AE56" i="18"/>
  <c r="AF56" i="18"/>
  <c r="AI56" i="18"/>
  <c r="AK56" i="18"/>
  <c r="AK59" i="18" s="1"/>
  <c r="AM56" i="18"/>
  <c r="AO56" i="18"/>
  <c r="AQ56" i="18"/>
  <c r="AQ59" i="18" s="1"/>
  <c r="L86" i="18" s="1"/>
  <c r="L92" i="18" s="1"/>
  <c r="AS56" i="18"/>
  <c r="AS59" i="18" s="1"/>
  <c r="N86" i="18" s="1"/>
  <c r="N92" i="18" s="1"/>
  <c r="AD57" i="18"/>
  <c r="M49" i="18" s="1"/>
  <c r="AF57" i="18"/>
  <c r="O49" i="18" s="1"/>
  <c r="J75" i="18"/>
  <c r="N75" i="18"/>
  <c r="J76" i="18"/>
  <c r="L76" i="18"/>
  <c r="N76" i="18"/>
  <c r="N79" i="18" s="1"/>
  <c r="N80" i="18" s="1"/>
  <c r="N81" i="18" s="1"/>
  <c r="J77" i="18"/>
  <c r="L77" i="18"/>
  <c r="N77" i="18"/>
  <c r="J78" i="18"/>
  <c r="J79" i="18" s="1"/>
  <c r="J80" i="18" s="1"/>
  <c r="J81" i="18" s="1"/>
  <c r="L78" i="18"/>
  <c r="N78" i="18"/>
  <c r="G91" i="18"/>
  <c r="P2" i="19"/>
  <c r="S3" i="20" s="1"/>
  <c r="K7" i="19"/>
  <c r="Q6" i="20" s="1"/>
  <c r="M7" i="19"/>
  <c r="R6" i="20"/>
  <c r="O7" i="19"/>
  <c r="S55" i="20"/>
  <c r="C11" i="19"/>
  <c r="C12" i="19"/>
  <c r="C13" i="19" s="1"/>
  <c r="C14" i="19" s="1"/>
  <c r="C18" i="19"/>
  <c r="C19" i="19" s="1"/>
  <c r="C20" i="19" s="1"/>
  <c r="C21" i="19" s="1"/>
  <c r="C22" i="19" s="1"/>
  <c r="C23" i="19" s="1"/>
  <c r="C27" i="19"/>
  <c r="K27" i="19"/>
  <c r="L27" i="8" s="1"/>
  <c r="M27" i="19"/>
  <c r="O27" i="19"/>
  <c r="C28" i="19"/>
  <c r="C29" i="19"/>
  <c r="C32" i="19"/>
  <c r="K34" i="19"/>
  <c r="M34" i="19"/>
  <c r="Z34" i="19"/>
  <c r="O34" i="19"/>
  <c r="X34" i="19"/>
  <c r="AB34" i="19"/>
  <c r="C37" i="19"/>
  <c r="C38" i="19" s="1"/>
  <c r="C39" i="19" s="1"/>
  <c r="C40" i="19" s="1"/>
  <c r="C41" i="19" s="1"/>
  <c r="C47" i="19"/>
  <c r="C48" i="19" s="1"/>
  <c r="C49" i="19" s="1"/>
  <c r="C53" i="19"/>
  <c r="C58" i="19"/>
  <c r="C59" i="19" s="1"/>
  <c r="C60" i="19" s="1"/>
  <c r="C61" i="19" s="1"/>
  <c r="C62" i="19" s="1"/>
  <c r="C63" i="19" s="1"/>
  <c r="C64" i="19" s="1"/>
  <c r="C65" i="19" s="1"/>
  <c r="K201" i="19"/>
  <c r="M201" i="19"/>
  <c r="Q201" i="19" s="1"/>
  <c r="O201" i="19"/>
  <c r="Q202" i="19"/>
  <c r="I206" i="19"/>
  <c r="Q215" i="19"/>
  <c r="Q216" i="19"/>
  <c r="Q217" i="19"/>
  <c r="Q218" i="19"/>
  <c r="Q219" i="19"/>
  <c r="Q221" i="19"/>
  <c r="Q223" i="19"/>
  <c r="Q224" i="19"/>
  <c r="Q225" i="19"/>
  <c r="Q227" i="19"/>
  <c r="Q228" i="19"/>
  <c r="Q230" i="19"/>
  <c r="S6" i="20"/>
  <c r="Q22" i="20"/>
  <c r="S24" i="20"/>
  <c r="Q36" i="20"/>
  <c r="S38" i="20"/>
  <c r="T50" i="20"/>
  <c r="S52" i="20"/>
  <c r="Q53" i="20"/>
  <c r="Q55" i="20"/>
  <c r="Q71" i="20"/>
  <c r="R73" i="20"/>
  <c r="S73" i="20"/>
  <c r="Q83" i="20"/>
  <c r="Q86" i="20"/>
  <c r="S86" i="20"/>
  <c r="D4" i="8"/>
  <c r="H4" i="8"/>
  <c r="L4" i="8"/>
  <c r="L6" i="8"/>
  <c r="M6" i="8"/>
  <c r="W6" i="8"/>
  <c r="W7" i="8"/>
  <c r="W8" i="8"/>
  <c r="W9" i="8"/>
  <c r="W10" i="8"/>
  <c r="W11" i="8"/>
  <c r="W12" i="8"/>
  <c r="W13" i="8"/>
  <c r="V14" i="8"/>
  <c r="W14" i="8"/>
  <c r="W15" i="8"/>
  <c r="W16" i="8"/>
  <c r="W17" i="8"/>
  <c r="W18" i="8"/>
  <c r="W19" i="8"/>
  <c r="W20" i="8"/>
  <c r="W21" i="8"/>
  <c r="W22" i="8"/>
  <c r="W23" i="8"/>
  <c r="W24" i="8"/>
  <c r="W25" i="8"/>
  <c r="W26" i="8"/>
  <c r="M27" i="8"/>
  <c r="N27" i="8"/>
  <c r="W27" i="8"/>
  <c r="W28" i="8"/>
  <c r="W29" i="8"/>
  <c r="W30" i="8"/>
  <c r="W31" i="8"/>
  <c r="W32" i="8"/>
  <c r="W33" i="8"/>
  <c r="W34" i="8"/>
  <c r="L37" i="8"/>
  <c r="M37" i="8"/>
  <c r="N37" i="8"/>
  <c r="W37" i="8"/>
  <c r="Q38" i="8"/>
  <c r="R38" i="8"/>
  <c r="S38" i="8"/>
  <c r="W38" i="8"/>
  <c r="L39" i="8"/>
  <c r="N39" i="8"/>
  <c r="Q39" i="8"/>
  <c r="R39" i="8"/>
  <c r="S39" i="8"/>
  <c r="W39" i="8"/>
  <c r="D40" i="8"/>
  <c r="E40" i="8"/>
  <c r="F40" i="8"/>
  <c r="H40" i="8"/>
  <c r="I40" i="8"/>
  <c r="J40" i="8"/>
  <c r="L40" i="8"/>
  <c r="M40" i="8"/>
  <c r="N40" i="8"/>
  <c r="Q40" i="8"/>
  <c r="R40" i="8"/>
  <c r="S40" i="8"/>
  <c r="W40" i="8"/>
  <c r="V41" i="8"/>
  <c r="W41" i="8"/>
  <c r="AQ6" i="21"/>
  <c r="AK8" i="21" s="1"/>
  <c r="L55" i="21"/>
  <c r="N8" i="21"/>
  <c r="N55" i="21" s="1"/>
  <c r="P8" i="21"/>
  <c r="AM8" i="21"/>
  <c r="AD11" i="21"/>
  <c r="E22" i="21"/>
  <c r="H22" i="21"/>
  <c r="Q22" i="21" s="1"/>
  <c r="E23" i="21"/>
  <c r="E24" i="21"/>
  <c r="BB32" i="21"/>
  <c r="BD32" i="21"/>
  <c r="BB33" i="21"/>
  <c r="BD33" i="21"/>
  <c r="AY34" i="21"/>
  <c r="BA34" i="21"/>
  <c r="BB34" i="21"/>
  <c r="BC34" i="21" s="1"/>
  <c r="BE34" i="21"/>
  <c r="BH34" i="21"/>
  <c r="BB35" i="21"/>
  <c r="BD35" i="21"/>
  <c r="BB36" i="21"/>
  <c r="BD36" i="21"/>
  <c r="AY37" i="21"/>
  <c r="BA37" i="21"/>
  <c r="BB37" i="21"/>
  <c r="BC37" i="21" s="1"/>
  <c r="BE37" i="21"/>
  <c r="BH37" i="21"/>
  <c r="BB38" i="21"/>
  <c r="BD38" i="21"/>
  <c r="Z39" i="21"/>
  <c r="P49" i="21" s="1"/>
  <c r="AB39" i="21"/>
  <c r="AD39" i="21"/>
  <c r="AY39" i="21"/>
  <c r="BA39" i="21"/>
  <c r="BC39" i="21"/>
  <c r="BE39" i="21"/>
  <c r="BH39" i="21"/>
  <c r="D41" i="21"/>
  <c r="M41" i="21"/>
  <c r="O41" i="21"/>
  <c r="Q41" i="21"/>
  <c r="T41" i="21"/>
  <c r="X41" i="21"/>
  <c r="Z41" i="21"/>
  <c r="AB41" i="21"/>
  <c r="AD41" i="21"/>
  <c r="AF41" i="21"/>
  <c r="AG41" i="21"/>
  <c r="AH41" i="21"/>
  <c r="L42" i="21"/>
  <c r="N42" i="21"/>
  <c r="P42" i="21"/>
  <c r="BE42" i="21"/>
  <c r="D44" i="21"/>
  <c r="T44" i="21"/>
  <c r="X44" i="21"/>
  <c r="Z44" i="21"/>
  <c r="AB44" i="21"/>
  <c r="AD44" i="21"/>
  <c r="AF44" i="21"/>
  <c r="AG44" i="21"/>
  <c r="AH44" i="21"/>
  <c r="BE44" i="21"/>
  <c r="L45" i="21"/>
  <c r="N45" i="21"/>
  <c r="P45" i="21"/>
  <c r="BE45" i="21"/>
  <c r="D47" i="21"/>
  <c r="T47" i="21"/>
  <c r="X47" i="21"/>
  <c r="Z47" i="21"/>
  <c r="AB47" i="21"/>
  <c r="AD47" i="21"/>
  <c r="AF47" i="21"/>
  <c r="AG47" i="21"/>
  <c r="AH47" i="21"/>
  <c r="BE47" i="21"/>
  <c r="L48" i="21"/>
  <c r="N48" i="21"/>
  <c r="P48" i="21"/>
  <c r="L49" i="21"/>
  <c r="N49" i="21"/>
  <c r="P55" i="21"/>
  <c r="O69" i="21"/>
  <c r="O70" i="21" s="1"/>
  <c r="N74" i="21" s="1"/>
  <c r="R69" i="21"/>
  <c r="R70" i="21" s="1"/>
  <c r="Q74" i="21" s="1"/>
  <c r="O74" i="21"/>
  <c r="R74" i="21"/>
  <c r="S76" i="21"/>
  <c r="J76" i="21" s="1"/>
  <c r="J77" i="21" s="1"/>
  <c r="K77" i="21"/>
  <c r="R77" i="21"/>
  <c r="O89" i="21"/>
  <c r="N104" i="21" s="1"/>
  <c r="E93" i="21"/>
  <c r="M93" i="21"/>
  <c r="M98" i="21" s="1"/>
  <c r="K96" i="21"/>
  <c r="G108" i="21" s="1"/>
  <c r="L96" i="21"/>
  <c r="M96" i="21"/>
  <c r="N99" i="21" s="1"/>
  <c r="N96" i="21"/>
  <c r="O96" i="21"/>
  <c r="P99" i="21" s="1"/>
  <c r="K98" i="21"/>
  <c r="L98" i="21"/>
  <c r="N98" i="21"/>
  <c r="P98" i="21"/>
  <c r="E99" i="21"/>
  <c r="E102" i="21"/>
  <c r="K108" i="21"/>
  <c r="G109" i="21"/>
  <c r="H109" i="21"/>
  <c r="I109" i="21"/>
  <c r="O110" i="21" s="1"/>
  <c r="K109" i="21"/>
  <c r="G110" i="21"/>
  <c r="H110" i="21"/>
  <c r="H113" i="21" s="1"/>
  <c r="I110" i="21"/>
  <c r="V110" i="21"/>
  <c r="G111" i="21"/>
  <c r="H111" i="21"/>
  <c r="I111" i="21"/>
  <c r="V111" i="21"/>
  <c r="M111" i="21" s="1"/>
  <c r="K111" i="21"/>
  <c r="G112" i="21"/>
  <c r="H112" i="21"/>
  <c r="I112" i="21"/>
  <c r="V112" i="21"/>
  <c r="K128" i="21"/>
  <c r="K129" i="21" s="1"/>
  <c r="M128" i="21"/>
  <c r="M129" i="21" s="1"/>
  <c r="O128" i="21"/>
  <c r="O131" i="21" s="1"/>
  <c r="M147" i="21"/>
  <c r="Q147" i="21"/>
  <c r="M150" i="21"/>
  <c r="Q150" i="21"/>
  <c r="M152" i="21"/>
  <c r="Q152" i="21"/>
  <c r="L161" i="21"/>
  <c r="N161" i="21"/>
  <c r="P161" i="21"/>
  <c r="L162" i="21"/>
  <c r="N162" i="21"/>
  <c r="P162" i="21"/>
  <c r="L163" i="21"/>
  <c r="L165" i="21"/>
  <c r="L166" i="21" s="1"/>
  <c r="L167" i="21" s="1"/>
  <c r="N163" i="21"/>
  <c r="P163" i="21"/>
  <c r="N165" i="21"/>
  <c r="N166" i="21" s="1"/>
  <c r="N167" i="21" s="1"/>
  <c r="L170" i="21"/>
  <c r="L171" i="21"/>
  <c r="N170" i="21"/>
  <c r="P170" i="21"/>
  <c r="P171" i="21" s="1"/>
  <c r="N171" i="21"/>
  <c r="H176" i="21"/>
  <c r="J189" i="21"/>
  <c r="J190" i="21"/>
  <c r="J191" i="21"/>
  <c r="J192" i="21"/>
  <c r="J193" i="21"/>
  <c r="J194" i="21"/>
  <c r="J195" i="21"/>
  <c r="K7" i="22"/>
  <c r="Q6" i="8" s="1"/>
  <c r="L7" i="22"/>
  <c r="R6" i="8" s="1"/>
  <c r="M7" i="22"/>
  <c r="S6" i="8" s="1"/>
  <c r="L8" i="22"/>
  <c r="M8" i="22"/>
  <c r="C12" i="22"/>
  <c r="C17" i="22"/>
  <c r="C18" i="22" s="1"/>
  <c r="C19" i="22" s="1"/>
  <c r="C20" i="22" s="1"/>
  <c r="C21" i="22" s="1"/>
  <c r="C22" i="22" s="1"/>
  <c r="C35" i="22"/>
  <c r="C36" i="22"/>
  <c r="C37" i="22" s="1"/>
  <c r="C38" i="22" s="1"/>
  <c r="V40" i="22"/>
  <c r="W40" i="22"/>
  <c r="X40" i="22"/>
  <c r="S3" i="23"/>
  <c r="S21" i="23"/>
  <c r="Q22" i="23"/>
  <c r="S40" i="23"/>
  <c r="Q41" i="23"/>
  <c r="S54" i="23"/>
  <c r="Q55" i="23"/>
  <c r="L21" i="12"/>
  <c r="N21" i="12"/>
  <c r="F24" i="12"/>
  <c r="E30" i="12"/>
  <c r="J30" i="12"/>
  <c r="D39" i="8" s="1"/>
  <c r="V39" i="8" s="1"/>
  <c r="L30" i="12"/>
  <c r="E39" i="8"/>
  <c r="N30" i="12"/>
  <c r="F39" i="8"/>
  <c r="E31" i="12"/>
  <c r="E32" i="12"/>
  <c r="E34" i="12"/>
  <c r="D50" i="12"/>
  <c r="S50" i="12"/>
  <c r="AB50" i="12"/>
  <c r="AC50" i="12"/>
  <c r="AD50" i="12"/>
  <c r="AE50" i="12"/>
  <c r="AF50" i="12"/>
  <c r="AG50" i="12"/>
  <c r="AI50" i="12"/>
  <c r="AK50" i="12"/>
  <c r="AM50" i="12"/>
  <c r="AO50" i="12"/>
  <c r="AQ50" i="12"/>
  <c r="AS50" i="12"/>
  <c r="D53" i="12"/>
  <c r="S53" i="12"/>
  <c r="AB53" i="12"/>
  <c r="AC53" i="12"/>
  <c r="AD53" i="12"/>
  <c r="AE53" i="12"/>
  <c r="AF53" i="12"/>
  <c r="AF57" i="12" s="1"/>
  <c r="O49" i="12" s="1"/>
  <c r="AI53" i="12"/>
  <c r="AK53" i="12"/>
  <c r="AM53" i="12"/>
  <c r="AO53" i="12"/>
  <c r="AQ53" i="12"/>
  <c r="AS53" i="12"/>
  <c r="S56" i="12"/>
  <c r="AB56" i="12"/>
  <c r="AC56" i="12"/>
  <c r="AC57" i="12" s="1"/>
  <c r="AD56" i="12"/>
  <c r="AE56" i="12"/>
  <c r="AF56" i="12"/>
  <c r="AI56" i="12"/>
  <c r="AK56" i="12"/>
  <c r="AM56" i="12"/>
  <c r="AO56" i="12"/>
  <c r="AQ56" i="12"/>
  <c r="AS56" i="12"/>
  <c r="AS59" i="12" s="1"/>
  <c r="N86" i="12" s="1"/>
  <c r="N92" i="12" s="1"/>
  <c r="O23" i="12" s="1"/>
  <c r="AE57" i="12"/>
  <c r="J75" i="12"/>
  <c r="L75" i="12"/>
  <c r="J76" i="12"/>
  <c r="L76" i="12"/>
  <c r="N76" i="12"/>
  <c r="J77" i="12"/>
  <c r="L77" i="12"/>
  <c r="N77" i="12"/>
  <c r="J78" i="12"/>
  <c r="L78" i="12"/>
  <c r="N78" i="12"/>
  <c r="G91" i="12"/>
  <c r="P2" i="13"/>
  <c r="S3" i="14" s="1"/>
  <c r="K7" i="13"/>
  <c r="D6" i="8" s="1"/>
  <c r="M7" i="13"/>
  <c r="R86" i="14" s="1"/>
  <c r="E6" i="8"/>
  <c r="O7" i="13"/>
  <c r="F6" i="8" s="1"/>
  <c r="C11" i="13"/>
  <c r="C12" i="13" s="1"/>
  <c r="C13" i="13" s="1"/>
  <c r="C14" i="13" s="1"/>
  <c r="C18" i="13"/>
  <c r="C19" i="13" s="1"/>
  <c r="C20" i="13" s="1"/>
  <c r="C21" i="13" s="1"/>
  <c r="C22" i="13" s="1"/>
  <c r="C23" i="13" s="1"/>
  <c r="C27" i="13"/>
  <c r="C28" i="13" s="1"/>
  <c r="C29" i="13" s="1"/>
  <c r="K27" i="13"/>
  <c r="D27" i="8" s="1"/>
  <c r="M27" i="13"/>
  <c r="E27" i="8" s="1"/>
  <c r="O27" i="13"/>
  <c r="F27" i="8" s="1"/>
  <c r="C32" i="13"/>
  <c r="K34" i="13"/>
  <c r="D37" i="8" s="1"/>
  <c r="M34" i="13"/>
  <c r="Z34" i="13" s="1"/>
  <c r="O34" i="13"/>
  <c r="F37" i="8" s="1"/>
  <c r="AB34" i="13"/>
  <c r="C37" i="13"/>
  <c r="C38" i="13" s="1"/>
  <c r="C39" i="13" s="1"/>
  <c r="C40" i="13" s="1"/>
  <c r="C47" i="13"/>
  <c r="C48" i="13" s="1"/>
  <c r="C49" i="13" s="1"/>
  <c r="C53" i="13"/>
  <c r="C58" i="13"/>
  <c r="C59" i="13" s="1"/>
  <c r="C60" i="13" s="1"/>
  <c r="C61" i="13" s="1"/>
  <c r="C62" i="13" s="1"/>
  <c r="C63" i="13" s="1"/>
  <c r="C64" i="13" s="1"/>
  <c r="C65" i="13" s="1"/>
  <c r="I206" i="13"/>
  <c r="Q22" i="14"/>
  <c r="Q24" i="14"/>
  <c r="R24" i="14"/>
  <c r="S24" i="14"/>
  <c r="Q36" i="14"/>
  <c r="S38" i="14"/>
  <c r="T50" i="14"/>
  <c r="Q53" i="14"/>
  <c r="Q55" i="14"/>
  <c r="R55" i="14"/>
  <c r="S55" i="14"/>
  <c r="C64" i="14"/>
  <c r="C65" i="14"/>
  <c r="S70" i="14"/>
  <c r="Q71" i="14"/>
  <c r="R73" i="14"/>
  <c r="S82" i="14"/>
  <c r="Q83" i="14"/>
  <c r="B50" i="11"/>
  <c r="C50" i="11"/>
  <c r="D50" i="11"/>
  <c r="B2" i="3"/>
  <c r="C3" i="3"/>
  <c r="B5" i="3"/>
  <c r="D6" i="3"/>
  <c r="T6" i="27"/>
  <c r="T7" i="27"/>
  <c r="Z7" i="27"/>
  <c r="T8" i="27"/>
  <c r="W8" i="27"/>
  <c r="Z8" i="27"/>
  <c r="T9" i="27"/>
  <c r="Z9" i="27"/>
  <c r="T10" i="27"/>
  <c r="J8" i="27" s="1"/>
  <c r="Z10" i="27"/>
  <c r="T11" i="27"/>
  <c r="W11" i="27" s="1"/>
  <c r="T12" i="27"/>
  <c r="Z12" i="27"/>
  <c r="AI12" i="27"/>
  <c r="AI14" i="27" s="1"/>
  <c r="AJ12" i="27"/>
  <c r="AJ14" i="27" s="1"/>
  <c r="AK12" i="27"/>
  <c r="AL12" i="27"/>
  <c r="AL14" i="27" s="1"/>
  <c r="AM12" i="27"/>
  <c r="AM14" i="27" s="1"/>
  <c r="AN12" i="27"/>
  <c r="AN14" i="27" s="1"/>
  <c r="T13" i="27"/>
  <c r="Z13" i="27"/>
  <c r="G14" i="27"/>
  <c r="J14" i="27" s="1"/>
  <c r="T14" i="27"/>
  <c r="Z14" i="27"/>
  <c r="AK14" i="27"/>
  <c r="T15" i="27"/>
  <c r="T16" i="27" s="1"/>
  <c r="J9" i="27" s="1"/>
  <c r="Z15" i="27"/>
  <c r="Z17" i="27"/>
  <c r="Z18" i="27"/>
  <c r="Z19" i="27"/>
  <c r="Z20" i="27"/>
  <c r="Z22" i="27"/>
  <c r="Z23" i="27"/>
  <c r="Z24" i="27"/>
  <c r="Z25" i="27"/>
  <c r="C30" i="27"/>
  <c r="F30" i="27" s="1"/>
  <c r="F78" i="27"/>
  <c r="H78" i="27"/>
  <c r="I78" i="27"/>
  <c r="J78" i="27"/>
  <c r="K78" i="27"/>
  <c r="C90" i="27"/>
  <c r="H91" i="27" s="1"/>
  <c r="G91" i="27"/>
  <c r="F91" i="27"/>
  <c r="K91" i="27"/>
  <c r="E112" i="27"/>
  <c r="F112" i="27"/>
  <c r="G112" i="27"/>
  <c r="H112" i="27"/>
  <c r="I112" i="27"/>
  <c r="J112" i="27"/>
  <c r="K112" i="27"/>
  <c r="H123" i="27"/>
  <c r="I123" i="27"/>
  <c r="J123" i="27"/>
  <c r="K123" i="27"/>
  <c r="Q149" i="27"/>
  <c r="G150" i="27"/>
  <c r="K150" i="27" s="1"/>
  <c r="W150" i="27"/>
  <c r="G151" i="27"/>
  <c r="K151" i="27" s="1"/>
  <c r="W151" i="27"/>
  <c r="G152" i="27"/>
  <c r="K152" i="27" s="1"/>
  <c r="W152" i="27"/>
  <c r="G153" i="27"/>
  <c r="K153" i="27" s="1"/>
  <c r="W153" i="27"/>
  <c r="G154" i="27"/>
  <c r="K154" i="27" s="1"/>
  <c r="W154" i="27"/>
  <c r="G155" i="27"/>
  <c r="K155" i="27" s="1"/>
  <c r="W155" i="27"/>
  <c r="G157" i="27"/>
  <c r="K157" i="27" s="1"/>
  <c r="G158" i="27"/>
  <c r="K158" i="27" s="1"/>
  <c r="M158" i="27" s="1"/>
  <c r="G159" i="27"/>
  <c r="K159" i="27" s="1"/>
  <c r="M159" i="27" s="1"/>
  <c r="G160" i="27"/>
  <c r="K160" i="27" s="1"/>
  <c r="G162" i="27"/>
  <c r="K162" i="27" s="1"/>
  <c r="G163" i="27"/>
  <c r="K163" i="27" s="1"/>
  <c r="M163" i="27" s="1"/>
  <c r="G164" i="27"/>
  <c r="K164" i="27" s="1"/>
  <c r="G166" i="27"/>
  <c r="K166" i="27" s="1"/>
  <c r="M166" i="27" s="1"/>
  <c r="G167" i="27"/>
  <c r="K167" i="27" s="1"/>
  <c r="G168" i="27"/>
  <c r="K168" i="27" s="1"/>
  <c r="M168" i="27" s="1"/>
  <c r="D3" i="6"/>
  <c r="D3" i="7" s="1"/>
  <c r="P7" i="6"/>
  <c r="P8" i="6" s="1"/>
  <c r="P9" i="6" s="1"/>
  <c r="P10" i="6" s="1"/>
  <c r="P11" i="6" s="1"/>
  <c r="P12" i="6" s="1"/>
  <c r="P13" i="6" s="1"/>
  <c r="P14" i="6" s="1"/>
  <c r="P15" i="6" s="1"/>
  <c r="P16" i="6" s="1"/>
  <c r="P17" i="6" s="1"/>
  <c r="P18" i="6" s="1"/>
  <c r="P19" i="6" s="1"/>
  <c r="P20" i="6" s="1"/>
  <c r="P21" i="6" s="1"/>
  <c r="P22" i="6" s="1"/>
  <c r="P23" i="6" s="1"/>
  <c r="P24" i="6" s="1"/>
  <c r="P25" i="6" s="1"/>
  <c r="P26" i="6" s="1"/>
  <c r="P27" i="6" s="1"/>
  <c r="P28" i="6" s="1"/>
  <c r="P29" i="6" s="1"/>
  <c r="P30" i="6" s="1"/>
  <c r="P31" i="6" s="1"/>
  <c r="P32" i="6" s="1"/>
  <c r="P33" i="6" s="1"/>
  <c r="P34" i="6" s="1"/>
  <c r="P35" i="6" s="1"/>
  <c r="P36" i="6" s="1"/>
  <c r="P37" i="6" s="1"/>
  <c r="P38" i="6" s="1"/>
  <c r="P39" i="6" s="1"/>
  <c r="P40" i="6" s="1"/>
  <c r="P41" i="6" s="1"/>
  <c r="P42" i="6" s="1"/>
  <c r="P43" i="6" s="1"/>
  <c r="P44" i="6" s="1"/>
  <c r="P45" i="6" s="1"/>
  <c r="P46" i="6" s="1"/>
  <c r="P47" i="6" s="1"/>
  <c r="P48" i="6" s="1"/>
  <c r="P49" i="6" s="1"/>
  <c r="P50" i="6" s="1"/>
  <c r="P51" i="6" s="1"/>
  <c r="P52" i="6" s="1"/>
  <c r="P53" i="6" s="1"/>
  <c r="P54" i="6" s="1"/>
  <c r="P55" i="6" s="1"/>
  <c r="P56" i="6" s="1"/>
  <c r="P57" i="6" s="1"/>
  <c r="P58" i="6" s="1"/>
  <c r="P59" i="6" s="1"/>
  <c r="P60" i="6" s="1"/>
  <c r="P61" i="6" s="1"/>
  <c r="P62" i="6" s="1"/>
  <c r="P63" i="6" s="1"/>
  <c r="P64" i="6" s="1"/>
  <c r="P65" i="6" s="1"/>
  <c r="P66" i="6" s="1"/>
  <c r="P67" i="6" s="1"/>
  <c r="P68" i="6" s="1"/>
  <c r="P69" i="6" s="1"/>
  <c r="P70" i="6" s="1"/>
  <c r="P71" i="6" s="1"/>
  <c r="P72" i="6" s="1"/>
  <c r="P73" i="6" s="1"/>
  <c r="P74" i="6" s="1"/>
  <c r="P75" i="6" s="1"/>
  <c r="P76" i="6" s="1"/>
  <c r="P77" i="6" s="1"/>
  <c r="P78" i="6" s="1"/>
  <c r="P79" i="6" s="1"/>
  <c r="P80" i="6" s="1"/>
  <c r="P81" i="6" s="1"/>
  <c r="AQ19" i="6"/>
  <c r="AS19" i="6" s="1"/>
  <c r="AQ20" i="6"/>
  <c r="AS20" i="6" s="1"/>
  <c r="AQ21" i="6"/>
  <c r="AS21" i="6" s="1"/>
  <c r="AO22" i="6"/>
  <c r="AO23" i="6"/>
  <c r="BR25" i="6"/>
  <c r="BX25" i="6"/>
  <c r="AB28" i="6"/>
  <c r="BR28" i="6"/>
  <c r="BX28" i="6"/>
  <c r="CZ28" i="6"/>
  <c r="AB29" i="6"/>
  <c r="BR29" i="6"/>
  <c r="BS29" i="6"/>
  <c r="BX29" i="6"/>
  <c r="BY29" i="6" s="1"/>
  <c r="CG29" i="6"/>
  <c r="CJ29" i="6"/>
  <c r="CP29" i="6"/>
  <c r="CS29" i="6"/>
  <c r="CZ29" i="6"/>
  <c r="CZ31" i="6"/>
  <c r="Z31" i="6"/>
  <c r="CJ31" i="6"/>
  <c r="CP31" i="6"/>
  <c r="CS31" i="6"/>
  <c r="CX31" i="6"/>
  <c r="CD32" i="6"/>
  <c r="CJ32" i="6"/>
  <c r="CP32" i="6"/>
  <c r="CP89" i="6" s="1"/>
  <c r="CP90" i="6" s="1"/>
  <c r="CS32" i="6"/>
  <c r="CD33" i="6"/>
  <c r="CG33" i="6"/>
  <c r="CJ33" i="6"/>
  <c r="CP33" i="6"/>
  <c r="CS33" i="6"/>
  <c r="BA34" i="6"/>
  <c r="CD34" i="6"/>
  <c r="CG34" i="6"/>
  <c r="CJ34" i="6"/>
  <c r="CP34" i="6"/>
  <c r="CS34" i="6"/>
  <c r="CD35" i="6"/>
  <c r="CG35" i="6"/>
  <c r="CJ35" i="6"/>
  <c r="CM35" i="6"/>
  <c r="CP35" i="6"/>
  <c r="CS35" i="6"/>
  <c r="CD36" i="6"/>
  <c r="CG36" i="6"/>
  <c r="CJ36" i="6"/>
  <c r="CM36" i="6"/>
  <c r="CP36" i="6"/>
  <c r="CS36" i="6"/>
  <c r="CX41" i="6"/>
  <c r="CY41" i="6"/>
  <c r="CZ41" i="6" s="1"/>
  <c r="DI43" i="6"/>
  <c r="DJ43" i="6"/>
  <c r="DK43" i="6"/>
  <c r="DL43" i="6"/>
  <c r="CD45" i="6"/>
  <c r="CG45" i="6"/>
  <c r="CJ45" i="6"/>
  <c r="CM45" i="6"/>
  <c r="CP45" i="6"/>
  <c r="CS45" i="6"/>
  <c r="CD46" i="6"/>
  <c r="CG46" i="6"/>
  <c r="CJ46" i="6"/>
  <c r="CM46" i="6"/>
  <c r="CP46" i="6"/>
  <c r="CS46" i="6"/>
  <c r="DD46" i="6"/>
  <c r="CD47" i="6"/>
  <c r="CG47" i="6"/>
  <c r="CJ47" i="6"/>
  <c r="CM47" i="6"/>
  <c r="CP47" i="6"/>
  <c r="CS47" i="6"/>
  <c r="DD47" i="6"/>
  <c r="CD48" i="6"/>
  <c r="CG48" i="6"/>
  <c r="CJ48" i="6"/>
  <c r="CM48" i="6"/>
  <c r="CP48" i="6"/>
  <c r="CS48" i="6"/>
  <c r="CX48" i="6"/>
  <c r="CY48" i="6"/>
  <c r="AW50" i="6"/>
  <c r="AW53" i="6" s="1"/>
  <c r="AX50" i="6"/>
  <c r="AX53" i="6" s="1"/>
  <c r="AY50" i="6"/>
  <c r="AZ50" i="6"/>
  <c r="AZ53" i="6" s="1"/>
  <c r="BA50" i="6"/>
  <c r="BA53" i="6" s="1"/>
  <c r="BB50" i="6"/>
  <c r="BB53" i="6" s="1"/>
  <c r="BC50" i="6"/>
  <c r="BC53" i="6" s="1"/>
  <c r="BD50" i="6"/>
  <c r="BD53" i="6" s="1"/>
  <c r="CD50" i="6"/>
  <c r="CG50" i="6"/>
  <c r="CJ50" i="6"/>
  <c r="CM50" i="6"/>
  <c r="CP50" i="6"/>
  <c r="CS50" i="6"/>
  <c r="AJ53" i="6"/>
  <c r="AY53" i="6"/>
  <c r="BN54" i="6"/>
  <c r="CD55" i="6"/>
  <c r="CG55" i="6"/>
  <c r="CJ55" i="6"/>
  <c r="CM55" i="6"/>
  <c r="CP55" i="6"/>
  <c r="CS55" i="6"/>
  <c r="W57" i="6"/>
  <c r="X57" i="6" s="1"/>
  <c r="Y57" i="6" s="1"/>
  <c r="Z57" i="6" s="1"/>
  <c r="CD59" i="6"/>
  <c r="CG59" i="6"/>
  <c r="CJ59" i="6"/>
  <c r="CM59" i="6"/>
  <c r="CP59" i="6"/>
  <c r="CS59" i="6"/>
  <c r="AX54" i="15"/>
  <c r="AY57" i="15"/>
  <c r="CD60" i="6"/>
  <c r="CG60" i="6"/>
  <c r="CJ60" i="6"/>
  <c r="CM60" i="6"/>
  <c r="CP60" i="6"/>
  <c r="CS60" i="6"/>
  <c r="CD61" i="6"/>
  <c r="CG61" i="6"/>
  <c r="CJ61" i="6"/>
  <c r="CM61" i="6"/>
  <c r="CP61" i="6"/>
  <c r="CS61" i="6"/>
  <c r="CD62" i="6"/>
  <c r="CG62" i="6"/>
  <c r="CJ62" i="6"/>
  <c r="CM62" i="6"/>
  <c r="CP62" i="6"/>
  <c r="CS62" i="6"/>
  <c r="BN68" i="6"/>
  <c r="CD68" i="6"/>
  <c r="CG68" i="6"/>
  <c r="CJ68" i="6"/>
  <c r="CM68" i="6"/>
  <c r="CP68" i="6"/>
  <c r="CS68" i="6"/>
  <c r="AG82" i="6"/>
  <c r="AI82" i="6"/>
  <c r="BM82" i="6"/>
  <c r="BP82" i="6"/>
  <c r="CD82" i="6"/>
  <c r="CG82" i="6"/>
  <c r="CJ82" i="6"/>
  <c r="CM82" i="6"/>
  <c r="CP82" i="6"/>
  <c r="CS82" i="6"/>
  <c r="AG83" i="6"/>
  <c r="AI83" i="6"/>
  <c r="CD83" i="6"/>
  <c r="CG83" i="6"/>
  <c r="CJ83" i="6"/>
  <c r="CM83" i="6"/>
  <c r="CP83" i="6"/>
  <c r="CS83" i="6"/>
  <c r="AG87" i="6"/>
  <c r="AI87" i="6" s="1"/>
  <c r="CD87" i="6"/>
  <c r="CG87" i="6"/>
  <c r="CJ87" i="6"/>
  <c r="CM87" i="6"/>
  <c r="CP87" i="6"/>
  <c r="CS87" i="6"/>
  <c r="CD88" i="6"/>
  <c r="CG88" i="6"/>
  <c r="CJ88" i="6"/>
  <c r="CM88" i="6"/>
  <c r="CP88" i="6"/>
  <c r="CS88" i="6"/>
  <c r="CB89" i="6"/>
  <c r="CC89" i="6"/>
  <c r="CE89" i="6"/>
  <c r="CF89" i="6"/>
  <c r="CH89" i="6"/>
  <c r="CK89" i="6"/>
  <c r="CN89" i="6"/>
  <c r="CQ89" i="6"/>
  <c r="F96" i="6"/>
  <c r="BM96" i="6"/>
  <c r="F97" i="6"/>
  <c r="F99" i="6" s="1"/>
  <c r="BO107" i="6"/>
  <c r="N13" i="26"/>
  <c r="N14" i="26"/>
  <c r="J15" i="26"/>
  <c r="K15" i="26"/>
  <c r="K16" i="26" s="1"/>
  <c r="L15" i="26"/>
  <c r="M15" i="26"/>
  <c r="H16" i="26"/>
  <c r="I16" i="26"/>
  <c r="J16" i="26"/>
  <c r="L16" i="26"/>
  <c r="M16" i="26"/>
  <c r="AG26" i="26"/>
  <c r="AH26" i="26"/>
  <c r="AI26" i="26"/>
  <c r="AC30" i="26"/>
  <c r="AC32" i="26" s="1"/>
  <c r="AF30" i="26"/>
  <c r="AF32" i="26" s="1"/>
  <c r="AL30" i="26"/>
  <c r="AL32" i="26" s="1"/>
  <c r="AO30" i="26"/>
  <c r="AO32" i="26" s="1"/>
  <c r="AR30" i="26"/>
  <c r="AR32" i="26" s="1"/>
  <c r="AU30" i="26"/>
  <c r="AU32" i="26"/>
  <c r="BD32" i="26"/>
  <c r="BG32" i="26"/>
  <c r="F24" i="15"/>
  <c r="E30" i="15"/>
  <c r="J30" i="15"/>
  <c r="H39" i="8" s="1"/>
  <c r="L30" i="15"/>
  <c r="I39" i="8" s="1"/>
  <c r="N30" i="15"/>
  <c r="J39" i="8" s="1"/>
  <c r="E31" i="15"/>
  <c r="E32" i="15"/>
  <c r="E34" i="15"/>
  <c r="D50" i="15"/>
  <c r="S50" i="15"/>
  <c r="AB50" i="15"/>
  <c r="AC50" i="15"/>
  <c r="AD50" i="15"/>
  <c r="AE50" i="15"/>
  <c r="AE57" i="15" s="1"/>
  <c r="AF50" i="15"/>
  <c r="AG50" i="15"/>
  <c r="AI50" i="15"/>
  <c r="AK50" i="15"/>
  <c r="AM50" i="15"/>
  <c r="AO50" i="15"/>
  <c r="AQ50" i="15"/>
  <c r="AS50" i="15"/>
  <c r="D53" i="15"/>
  <c r="S53" i="15"/>
  <c r="AB53" i="15"/>
  <c r="AC53" i="15"/>
  <c r="AC57" i="15" s="1"/>
  <c r="AD53" i="15"/>
  <c r="AE53" i="15"/>
  <c r="AF53" i="15"/>
  <c r="AI53" i="15"/>
  <c r="AK53" i="15"/>
  <c r="AM53" i="15"/>
  <c r="AO53" i="15"/>
  <c r="AQ53" i="15"/>
  <c r="AS53" i="15"/>
  <c r="D56" i="15"/>
  <c r="S56" i="15"/>
  <c r="AB56" i="15"/>
  <c r="AB57" i="15" s="1"/>
  <c r="K49" i="15" s="1"/>
  <c r="AC56" i="15"/>
  <c r="AD56" i="15"/>
  <c r="AD57" i="15" s="1"/>
  <c r="M49" i="15" s="1"/>
  <c r="AE56" i="15"/>
  <c r="AF56" i="15"/>
  <c r="AF57" i="15" s="1"/>
  <c r="O49" i="15" s="1"/>
  <c r="AI56" i="15"/>
  <c r="AK56" i="15"/>
  <c r="AM56" i="15"/>
  <c r="AO56" i="15"/>
  <c r="AO59" i="15" s="1"/>
  <c r="J86" i="15" s="1"/>
  <c r="J92" i="15" s="1"/>
  <c r="J24" i="15" s="1"/>
  <c r="AQ56" i="15"/>
  <c r="AS56" i="15"/>
  <c r="J76" i="15"/>
  <c r="L76" i="15"/>
  <c r="N76" i="15"/>
  <c r="J77" i="15"/>
  <c r="L77" i="15"/>
  <c r="N77" i="15"/>
  <c r="J78" i="15"/>
  <c r="L78" i="15"/>
  <c r="N78" i="15"/>
  <c r="G91" i="15"/>
  <c r="P2" i="16"/>
  <c r="S21" i="17" s="1"/>
  <c r="K7" i="16"/>
  <c r="H6" i="8" s="1"/>
  <c r="M7" i="16"/>
  <c r="I6" i="8" s="1"/>
  <c r="O7" i="16"/>
  <c r="J6" i="8" s="1"/>
  <c r="C11" i="16"/>
  <c r="C12" i="16" s="1"/>
  <c r="C13" i="16" s="1"/>
  <c r="C14" i="16" s="1"/>
  <c r="C18" i="16"/>
  <c r="C19" i="16" s="1"/>
  <c r="C20" i="16" s="1"/>
  <c r="C21" i="16" s="1"/>
  <c r="C22" i="16" s="1"/>
  <c r="C23" i="16" s="1"/>
  <c r="C27" i="16"/>
  <c r="C28" i="16" s="1"/>
  <c r="C29" i="16" s="1"/>
  <c r="K27" i="16"/>
  <c r="H27" i="8" s="1"/>
  <c r="M27" i="16"/>
  <c r="I27" i="8" s="1"/>
  <c r="O27" i="16"/>
  <c r="J27" i="8" s="1"/>
  <c r="C32" i="16"/>
  <c r="K34" i="16"/>
  <c r="H37" i="8" s="1"/>
  <c r="M34" i="16"/>
  <c r="I37" i="8" s="1"/>
  <c r="O34" i="16"/>
  <c r="J37" i="8" s="1"/>
  <c r="X34" i="16"/>
  <c r="AB34" i="16"/>
  <c r="C37" i="16"/>
  <c r="C38" i="16" s="1"/>
  <c r="C39" i="16" s="1"/>
  <c r="C40" i="16" s="1"/>
  <c r="C41" i="16" s="1"/>
  <c r="C47" i="16"/>
  <c r="C48" i="16" s="1"/>
  <c r="C49" i="16" s="1"/>
  <c r="C53" i="16"/>
  <c r="C58" i="16"/>
  <c r="C59" i="16"/>
  <c r="C60" i="16" s="1"/>
  <c r="C61" i="16" s="1"/>
  <c r="C62" i="16" s="1"/>
  <c r="C63" i="16" s="1"/>
  <c r="C64" i="16" s="1"/>
  <c r="C65" i="16" s="1"/>
  <c r="K201" i="16"/>
  <c r="M201" i="16"/>
  <c r="O201" i="16"/>
  <c r="Q201" i="16"/>
  <c r="Q202" i="16"/>
  <c r="I206" i="16"/>
  <c r="Q215" i="16"/>
  <c r="Q216" i="16"/>
  <c r="Q217" i="16"/>
  <c r="Q218" i="16"/>
  <c r="Q219" i="16"/>
  <c r="Q221" i="16"/>
  <c r="Q223" i="16"/>
  <c r="Q224" i="16"/>
  <c r="Q225" i="16"/>
  <c r="Q227" i="16"/>
  <c r="Q228" i="16"/>
  <c r="Q230" i="16"/>
  <c r="R6" i="17"/>
  <c r="Q22" i="17"/>
  <c r="S35" i="17"/>
  <c r="Q36" i="17"/>
  <c r="Q38" i="17"/>
  <c r="T50" i="17"/>
  <c r="S52" i="17"/>
  <c r="Q53" i="17"/>
  <c r="S70" i="17"/>
  <c r="Q71" i="17"/>
  <c r="S82" i="17"/>
  <c r="Q83" i="17"/>
  <c r="Q86" i="17"/>
  <c r="S86" i="17"/>
  <c r="D4" i="5"/>
  <c r="E4" i="15" s="1"/>
  <c r="F4" i="16" s="1"/>
  <c r="I23" i="5"/>
  <c r="Z55" i="5"/>
  <c r="Z56" i="5"/>
  <c r="X57" i="5"/>
  <c r="C62" i="5"/>
  <c r="C63" i="5"/>
  <c r="N88" i="5"/>
  <c r="N89" i="5"/>
  <c r="N90" i="5"/>
  <c r="N91" i="5"/>
  <c r="N92" i="5"/>
  <c r="I25" i="24"/>
  <c r="D43" i="24" s="1"/>
  <c r="I28" i="24"/>
  <c r="E46" i="24" s="1"/>
  <c r="I31" i="24"/>
  <c r="D50" i="24" s="1"/>
  <c r="I34" i="24"/>
  <c r="C53" i="24" s="1"/>
  <c r="C37" i="24"/>
  <c r="D37" i="24"/>
  <c r="E37" i="24"/>
  <c r="F37" i="24"/>
  <c r="G37" i="24"/>
  <c r="H37" i="24"/>
  <c r="C38" i="24"/>
  <c r="D38" i="24"/>
  <c r="E38" i="24"/>
  <c r="F38" i="24"/>
  <c r="G38" i="24"/>
  <c r="H38" i="24"/>
  <c r="I38" i="24"/>
  <c r="C40" i="24"/>
  <c r="D40" i="24"/>
  <c r="E40" i="24"/>
  <c r="G40" i="24"/>
  <c r="H40" i="24"/>
  <c r="C44" i="24"/>
  <c r="D44" i="24"/>
  <c r="E44" i="24"/>
  <c r="F44" i="24"/>
  <c r="G44" i="24"/>
  <c r="H44" i="24"/>
  <c r="I44" i="24"/>
  <c r="C46" i="24"/>
  <c r="C51" i="24"/>
  <c r="D51" i="24"/>
  <c r="E51" i="24"/>
  <c r="F51" i="24"/>
  <c r="G51" i="24"/>
  <c r="H51" i="24"/>
  <c r="I51" i="24"/>
  <c r="P65" i="24"/>
  <c r="P66" i="24"/>
  <c r="N67" i="24"/>
  <c r="W100" i="24"/>
  <c r="AA100" i="24"/>
  <c r="W101" i="24"/>
  <c r="AA101" i="24"/>
  <c r="W102" i="24"/>
  <c r="Y102" i="24"/>
  <c r="H116" i="24"/>
  <c r="H117" i="24"/>
  <c r="H118" i="24"/>
  <c r="H119" i="24"/>
  <c r="H120" i="24"/>
  <c r="H122" i="24"/>
  <c r="H123" i="24"/>
  <c r="H124" i="24"/>
  <c r="H125" i="24"/>
  <c r="H126" i="24"/>
  <c r="H127" i="24"/>
  <c r="H128" i="24"/>
  <c r="H133" i="24"/>
  <c r="H134" i="24"/>
  <c r="H137" i="24"/>
  <c r="H140" i="24"/>
  <c r="H142" i="24"/>
  <c r="H144" i="24"/>
  <c r="H146" i="24"/>
  <c r="H147" i="24"/>
  <c r="H148" i="24"/>
  <c r="H149" i="24"/>
  <c r="H150" i="24"/>
  <c r="H151" i="24"/>
  <c r="H152" i="24"/>
  <c r="H153" i="24"/>
  <c r="H154" i="24"/>
  <c r="H155" i="24"/>
  <c r="H156" i="24"/>
  <c r="H158" i="24"/>
  <c r="H160" i="24"/>
  <c r="H161" i="24"/>
  <c r="H162" i="24"/>
  <c r="H163" i="24"/>
  <c r="H164" i="24"/>
  <c r="H165" i="24"/>
  <c r="H166" i="24"/>
  <c r="H168" i="24"/>
  <c r="H50" i="24"/>
  <c r="O112" i="21"/>
  <c r="K112" i="21"/>
  <c r="Q76" i="21"/>
  <c r="P76" i="21" s="1"/>
  <c r="AN8" i="21"/>
  <c r="Q77" i="21"/>
  <c r="CM89" i="6"/>
  <c r="CM90" i="6" s="1"/>
  <c r="CG89" i="6"/>
  <c r="CG90" i="6" s="1"/>
  <c r="CD89" i="6"/>
  <c r="CD90" i="6" s="1"/>
  <c r="CY32" i="6"/>
  <c r="CS89" i="6"/>
  <c r="CS90" i="6" s="1"/>
  <c r="AB31" i="6"/>
  <c r="DL25" i="6"/>
  <c r="DL27" i="6"/>
  <c r="DN25" i="6"/>
  <c r="DN27" i="6"/>
  <c r="DL28" i="6"/>
  <c r="DN28" i="6"/>
  <c r="M49" i="6"/>
  <c r="M55" i="6"/>
  <c r="M20" i="8"/>
  <c r="K20" i="13"/>
  <c r="M20" i="19"/>
  <c r="D24" i="8"/>
  <c r="M19" i="22"/>
  <c r="S18" i="8" s="1"/>
  <c r="H20" i="8"/>
  <c r="D18" i="8"/>
  <c r="K19" i="19"/>
  <c r="J21" i="8"/>
  <c r="O20" i="16"/>
  <c r="M18" i="8"/>
  <c r="O20" i="13"/>
  <c r="I24" i="8"/>
  <c r="M19" i="13"/>
  <c r="E17" i="8" s="1"/>
  <c r="N21" i="8"/>
  <c r="M20" i="13"/>
  <c r="E53" i="24"/>
  <c r="C50" i="24"/>
  <c r="N6" i="8"/>
  <c r="N75" i="15"/>
  <c r="N79" i="15" s="1"/>
  <c r="N80" i="15" s="1"/>
  <c r="N81" i="15" s="1"/>
  <c r="S73" i="17"/>
  <c r="S55" i="17"/>
  <c r="S38" i="17"/>
  <c r="L75" i="15"/>
  <c r="L79" i="15" s="1"/>
  <c r="L80" i="15" s="1"/>
  <c r="L81" i="15" s="1"/>
  <c r="Q73" i="17"/>
  <c r="Q24" i="17"/>
  <c r="J75" i="15"/>
  <c r="J79" i="15" s="1"/>
  <c r="J80" i="15" s="1"/>
  <c r="J81" i="15" s="1"/>
  <c r="S86" i="14"/>
  <c r="S73" i="14"/>
  <c r="S6" i="14"/>
  <c r="N75" i="12"/>
  <c r="N79" i="12" s="1"/>
  <c r="N80" i="12" s="1"/>
  <c r="N81" i="12" s="1"/>
  <c r="R38" i="14"/>
  <c r="R6" i="14"/>
  <c r="R24" i="20"/>
  <c r="R86" i="20"/>
  <c r="R55" i="20"/>
  <c r="R38" i="20"/>
  <c r="W12" i="27"/>
  <c r="W9" i="27"/>
  <c r="AJ20" i="27"/>
  <c r="AN20" i="27"/>
  <c r="AI20" i="27"/>
  <c r="AM20" i="27"/>
  <c r="AL20" i="27"/>
  <c r="AK20" i="27"/>
  <c r="N174" i="21"/>
  <c r="N175" i="21" s="1"/>
  <c r="P100" i="21"/>
  <c r="O104" i="21" s="1"/>
  <c r="Q58" i="23"/>
  <c r="S24" i="23"/>
  <c r="O111" i="21"/>
  <c r="O113" i="21" s="1"/>
  <c r="I108" i="21"/>
  <c r="S6" i="23"/>
  <c r="S58" i="23"/>
  <c r="S43" i="23"/>
  <c r="Q43" i="23"/>
  <c r="Q24" i="23"/>
  <c r="Q6" i="23"/>
  <c r="R58" i="23"/>
  <c r="R24" i="23"/>
  <c r="R6" i="23"/>
  <c r="C41" i="13"/>
  <c r="Q73" i="20"/>
  <c r="Q38" i="20"/>
  <c r="Q24" i="20"/>
  <c r="H46" i="24"/>
  <c r="I53" i="24"/>
  <c r="D53" i="24"/>
  <c r="I40" i="24"/>
  <c r="I46" i="24"/>
  <c r="G46" i="24"/>
  <c r="D46" i="24"/>
  <c r="E4" i="12"/>
  <c r="F4" i="13" s="1"/>
  <c r="F4" i="21"/>
  <c r="F4" i="22" s="1"/>
  <c r="E4" i="18"/>
  <c r="F4" i="19" s="1"/>
  <c r="E62" i="30"/>
  <c r="E46" i="30"/>
  <c r="L104" i="21" l="1"/>
  <c r="O98" i="21"/>
  <c r="I17" i="8"/>
  <c r="O19" i="16"/>
  <c r="J10" i="27"/>
  <c r="K25" i="27" s="1"/>
  <c r="E37" i="8"/>
  <c r="V37" i="8" s="1"/>
  <c r="AK59" i="12"/>
  <c r="AB57" i="12"/>
  <c r="K49" i="12" s="1"/>
  <c r="V40" i="8"/>
  <c r="S9" i="5"/>
  <c r="M81" i="6"/>
  <c r="M75" i="6"/>
  <c r="M64" i="6"/>
  <c r="M65" i="6"/>
  <c r="M78" i="6"/>
  <c r="M74" i="6"/>
  <c r="M63" i="6"/>
  <c r="M66" i="6"/>
  <c r="M67" i="6"/>
  <c r="M76" i="6"/>
  <c r="M77" i="6"/>
  <c r="M79" i="6"/>
  <c r="M80" i="6"/>
  <c r="M62" i="6"/>
  <c r="M68" i="6"/>
  <c r="M69" i="6"/>
  <c r="K132" i="21"/>
  <c r="P101" i="21"/>
  <c r="O105" i="21" s="1"/>
  <c r="O106" i="21" s="1"/>
  <c r="K133" i="21"/>
  <c r="K131" i="21"/>
  <c r="F18" i="8"/>
  <c r="P77" i="5"/>
  <c r="P76" i="5"/>
  <c r="Q4" i="21"/>
  <c r="M4" i="22" s="1"/>
  <c r="S41" i="23" s="1"/>
  <c r="S53" i="20"/>
  <c r="P46" i="5"/>
  <c r="P6" i="5"/>
  <c r="S71" i="20"/>
  <c r="S4" i="20"/>
  <c r="S36" i="20"/>
  <c r="M58" i="6"/>
  <c r="I20" i="8"/>
  <c r="F21" i="8"/>
  <c r="J20" i="8"/>
  <c r="O19" i="13"/>
  <c r="F17" i="8" s="1"/>
  <c r="K20" i="16"/>
  <c r="M20" i="16"/>
  <c r="H21" i="8"/>
  <c r="N20" i="8"/>
  <c r="N24" i="8"/>
  <c r="N17" i="8"/>
  <c r="L18" i="8"/>
  <c r="L24" i="8"/>
  <c r="K18" i="22"/>
  <c r="Q17" i="8" s="1"/>
  <c r="R24" i="8"/>
  <c r="M19" i="19"/>
  <c r="I18" i="8"/>
  <c r="L21" i="8"/>
  <c r="O63" i="5"/>
  <c r="M19" i="16"/>
  <c r="O62" i="5"/>
  <c r="E24" i="8"/>
  <c r="S24" i="8"/>
  <c r="K19" i="22"/>
  <c r="Q18" i="8" s="1"/>
  <c r="D21" i="8"/>
  <c r="L18" i="22"/>
  <c r="R17" i="8" s="1"/>
  <c r="F20" i="8"/>
  <c r="S20" i="8"/>
  <c r="J24" i="8"/>
  <c r="D20" i="8"/>
  <c r="Q20" i="8"/>
  <c r="M21" i="8"/>
  <c r="R20" i="8"/>
  <c r="N18" i="8"/>
  <c r="R21" i="8"/>
  <c r="Q21" i="8"/>
  <c r="H18" i="8"/>
  <c r="E21" i="8"/>
  <c r="L17" i="8"/>
  <c r="J17" i="8"/>
  <c r="E18" i="8"/>
  <c r="O19" i="19"/>
  <c r="M24" i="8"/>
  <c r="Q24" i="8"/>
  <c r="L20" i="8"/>
  <c r="H17" i="8"/>
  <c r="K20" i="19"/>
  <c r="J18" i="8"/>
  <c r="S21" i="8"/>
  <c r="L19" i="22"/>
  <c r="R18" i="8" s="1"/>
  <c r="K19" i="13"/>
  <c r="D17" i="8" s="1"/>
  <c r="I21" i="8"/>
  <c r="O20" i="19"/>
  <c r="E20" i="8"/>
  <c r="H24" i="8"/>
  <c r="F24" i="8"/>
  <c r="M18" i="22"/>
  <c r="S17" i="8" s="1"/>
  <c r="K19" i="16"/>
  <c r="M17" i="8"/>
  <c r="O51" i="5"/>
  <c r="AB57" i="18"/>
  <c r="K49" i="18" s="1"/>
  <c r="AI59" i="18"/>
  <c r="O19" i="5"/>
  <c r="O69" i="5"/>
  <c r="M56" i="6"/>
  <c r="O48" i="5"/>
  <c r="P69" i="5"/>
  <c r="O75" i="5"/>
  <c r="M57" i="6"/>
  <c r="O20" i="5"/>
  <c r="O21" i="5"/>
  <c r="AD57" i="12"/>
  <c r="M49" i="12" s="1"/>
  <c r="AO59" i="18"/>
  <c r="J86" i="18" s="1"/>
  <c r="J92" i="18" s="1"/>
  <c r="K23" i="18" s="1"/>
  <c r="AM59" i="18"/>
  <c r="AQ59" i="15"/>
  <c r="L86" i="15" s="1"/>
  <c r="L92" i="15" s="1"/>
  <c r="AK59" i="15"/>
  <c r="AM59" i="15"/>
  <c r="AI59" i="15"/>
  <c r="AS59" i="15"/>
  <c r="N86" i="15" s="1"/>
  <c r="N92" i="15" s="1"/>
  <c r="N24" i="15" s="1"/>
  <c r="AO59" i="12"/>
  <c r="J86" i="12" s="1"/>
  <c r="J92" i="12" s="1"/>
  <c r="J24" i="12" s="1"/>
  <c r="AM59" i="12"/>
  <c r="N24" i="12"/>
  <c r="AQ59" i="12"/>
  <c r="L86" i="12" s="1"/>
  <c r="L92" i="12" s="1"/>
  <c r="L24" i="12" s="1"/>
  <c r="P48" i="5"/>
  <c r="P72" i="5"/>
  <c r="P54" i="5"/>
  <c r="M66" i="18" s="1"/>
  <c r="L66" i="18" s="1"/>
  <c r="N66" i="18" s="1"/>
  <c r="P52" i="5"/>
  <c r="P47" i="5"/>
  <c r="P45" i="5"/>
  <c r="P73" i="5"/>
  <c r="P51" i="5"/>
  <c r="O22" i="5"/>
  <c r="M53" i="6"/>
  <c r="O45" i="5"/>
  <c r="O72" i="5"/>
  <c r="M52" i="6"/>
  <c r="AY54" i="15"/>
  <c r="BA54" i="15" s="1"/>
  <c r="P38" i="5"/>
  <c r="K59" i="15" s="1"/>
  <c r="K36" i="16" s="1"/>
  <c r="BL44" i="21"/>
  <c r="AY57" i="18"/>
  <c r="AZ57" i="18" s="1"/>
  <c r="P68" i="5"/>
  <c r="M45" i="6"/>
  <c r="M47" i="6"/>
  <c r="M51" i="6"/>
  <c r="M54" i="6"/>
  <c r="M50" i="6"/>
  <c r="M48" i="6"/>
  <c r="K8" i="22"/>
  <c r="K134" i="21"/>
  <c r="N100" i="21"/>
  <c r="M104" i="21" s="1"/>
  <c r="M132" i="21"/>
  <c r="M134" i="21"/>
  <c r="H108" i="21"/>
  <c r="M133" i="21"/>
  <c r="O23" i="18"/>
  <c r="N24" i="18"/>
  <c r="K41" i="27"/>
  <c r="K40" i="27"/>
  <c r="J36" i="27"/>
  <c r="J44" i="27"/>
  <c r="I40" i="27"/>
  <c r="G41" i="27"/>
  <c r="J37" i="27"/>
  <c r="J45" i="27"/>
  <c r="K39" i="27"/>
  <c r="K38" i="27"/>
  <c r="I37" i="27"/>
  <c r="I45" i="27"/>
  <c r="H41" i="27"/>
  <c r="J34" i="27"/>
  <c r="J42" i="27"/>
  <c r="I38" i="27"/>
  <c r="G37" i="27"/>
  <c r="K37" i="27"/>
  <c r="K36" i="27"/>
  <c r="H38" i="27"/>
  <c r="G34" i="27"/>
  <c r="G42" i="27"/>
  <c r="I35" i="27"/>
  <c r="I43" i="27"/>
  <c r="H39" i="27"/>
  <c r="J40" i="27"/>
  <c r="G45" i="27"/>
  <c r="K35" i="27"/>
  <c r="G39" i="27"/>
  <c r="J35" i="27"/>
  <c r="J43" i="27"/>
  <c r="H36" i="27"/>
  <c r="H44" i="27"/>
  <c r="G40" i="27"/>
  <c r="I44" i="27"/>
  <c r="J41" i="27"/>
  <c r="I41" i="27"/>
  <c r="H37" i="27"/>
  <c r="H45" i="27"/>
  <c r="J38" i="27"/>
  <c r="I34" i="27"/>
  <c r="I42" i="27"/>
  <c r="K45" i="27"/>
  <c r="K44" i="27"/>
  <c r="H34" i="27"/>
  <c r="H42" i="27"/>
  <c r="G38" i="27"/>
  <c r="I39" i="27"/>
  <c r="H35" i="27"/>
  <c r="H43" i="27"/>
  <c r="I36" i="27"/>
  <c r="K43" i="27"/>
  <c r="K42" i="27"/>
  <c r="G35" i="27"/>
  <c r="G43" i="27"/>
  <c r="J39" i="27"/>
  <c r="F31" i="27"/>
  <c r="H40" i="27"/>
  <c r="G36" i="27"/>
  <c r="G44" i="27"/>
  <c r="O76" i="21"/>
  <c r="O77" i="21" s="1"/>
  <c r="P77" i="21"/>
  <c r="V6" i="8"/>
  <c r="DA62" i="30"/>
  <c r="N49" i="15"/>
  <c r="L49" i="15"/>
  <c r="M23" i="15"/>
  <c r="L24" i="15"/>
  <c r="K74" i="21"/>
  <c r="M74" i="21"/>
  <c r="L74" i="21" s="1"/>
  <c r="M23" i="18"/>
  <c r="L24" i="18"/>
  <c r="H43" i="24"/>
  <c r="G43" i="24"/>
  <c r="Z57" i="5"/>
  <c r="R38" i="17"/>
  <c r="S3" i="17"/>
  <c r="CJ89" i="6"/>
  <c r="CJ90" i="6" s="1"/>
  <c r="M155" i="27"/>
  <c r="M151" i="27"/>
  <c r="J91" i="27"/>
  <c r="Q73" i="14"/>
  <c r="M131" i="21"/>
  <c r="C43" i="24"/>
  <c r="R73" i="17"/>
  <c r="N15" i="26"/>
  <c r="O15" i="26" s="1"/>
  <c r="P16" i="26" s="1"/>
  <c r="Q16" i="26" s="1"/>
  <c r="M160" i="27"/>
  <c r="I91" i="27"/>
  <c r="Q6" i="14"/>
  <c r="X34" i="13"/>
  <c r="G113" i="21"/>
  <c r="D63" i="27"/>
  <c r="D66" i="27"/>
  <c r="D62" i="27"/>
  <c r="D64" i="27"/>
  <c r="D65" i="27"/>
  <c r="Z45" i="30"/>
  <c r="AT22" i="30"/>
  <c r="M167" i="27"/>
  <c r="M154" i="27"/>
  <c r="M150" i="27"/>
  <c r="W10" i="27"/>
  <c r="W7" i="27"/>
  <c r="O129" i="21"/>
  <c r="M112" i="21"/>
  <c r="K110" i="21"/>
  <c r="S35" i="20"/>
  <c r="AT45" i="30"/>
  <c r="Q38" i="14"/>
  <c r="L79" i="12"/>
  <c r="L80" i="12" s="1"/>
  <c r="L81" i="12" s="1"/>
  <c r="AI59" i="12"/>
  <c r="R43" i="23"/>
  <c r="I113" i="21"/>
  <c r="P74" i="21"/>
  <c r="N45" i="30"/>
  <c r="AH45" i="30"/>
  <c r="V52" i="30"/>
  <c r="R55" i="17"/>
  <c r="R24" i="17"/>
  <c r="AI32" i="26"/>
  <c r="M153" i="27"/>
  <c r="Q86" i="14"/>
  <c r="J79" i="12"/>
  <c r="J80" i="12" s="1"/>
  <c r="J81" i="12" s="1"/>
  <c r="V45" i="30"/>
  <c r="AK62" i="30"/>
  <c r="P62" i="30"/>
  <c r="AM62" i="30" s="1"/>
  <c r="AH52" i="30"/>
  <c r="N176" i="21"/>
  <c r="P29" i="5"/>
  <c r="P32" i="5" s="1"/>
  <c r="R86" i="17"/>
  <c r="M164" i="27"/>
  <c r="L75" i="18"/>
  <c r="L79" i="18" s="1"/>
  <c r="L80" i="18" s="1"/>
  <c r="L81" i="18" s="1"/>
  <c r="AD22" i="30"/>
  <c r="Z52" i="30"/>
  <c r="AT52" i="30"/>
  <c r="AI30" i="26"/>
  <c r="M157" i="27"/>
  <c r="M152" i="27"/>
  <c r="W13" i="27"/>
  <c r="K135" i="21"/>
  <c r="N27" i="30"/>
  <c r="AP22" i="30"/>
  <c r="M162" i="27"/>
  <c r="V22" i="30"/>
  <c r="H52" i="30"/>
  <c r="AM52" i="30" s="1"/>
  <c r="AX57" i="18"/>
  <c r="M22" i="21"/>
  <c r="O22" i="21"/>
  <c r="O161" i="21" s="1"/>
  <c r="AX51" i="12"/>
  <c r="BK47" i="21"/>
  <c r="BP47" i="21" s="1"/>
  <c r="AX54" i="18"/>
  <c r="AX57" i="15"/>
  <c r="AX51" i="15"/>
  <c r="AX51" i="18"/>
  <c r="BK41" i="21"/>
  <c r="BQ41" i="21" s="1"/>
  <c r="S83" i="20"/>
  <c r="P44" i="5"/>
  <c r="P75" i="5"/>
  <c r="P55" i="5"/>
  <c r="M3" i="7"/>
  <c r="P74" i="5"/>
  <c r="P53" i="5"/>
  <c r="N3" i="6"/>
  <c r="N6" i="6" s="1"/>
  <c r="N61" i="6" s="1"/>
  <c r="BL47" i="21"/>
  <c r="AY51" i="15"/>
  <c r="BA51" i="15" s="1"/>
  <c r="P60" i="5"/>
  <c r="O4" i="12"/>
  <c r="P4" i="13" s="1"/>
  <c r="S71" i="14" s="1"/>
  <c r="P71" i="5"/>
  <c r="P50" i="5"/>
  <c r="O4" i="15"/>
  <c r="P4" i="16" s="1"/>
  <c r="P70" i="5"/>
  <c r="P49" i="5"/>
  <c r="V27" i="8"/>
  <c r="Q55" i="17"/>
  <c r="S24" i="17"/>
  <c r="S6" i="17"/>
  <c r="Q6" i="17"/>
  <c r="S35" i="14"/>
  <c r="S82" i="20"/>
  <c r="S70" i="20"/>
  <c r="S21" i="20"/>
  <c r="AX54" i="12"/>
  <c r="BK44" i="21"/>
  <c r="BR44" i="21" s="1"/>
  <c r="AX57" i="12"/>
  <c r="AA102" i="24"/>
  <c r="AA103" i="24" s="1"/>
  <c r="I37" i="24"/>
  <c r="G50" i="24"/>
  <c r="H53" i="24"/>
  <c r="F43" i="24"/>
  <c r="F50" i="24"/>
  <c r="G53" i="24"/>
  <c r="E50" i="24"/>
  <c r="E43" i="24"/>
  <c r="P67" i="24"/>
  <c r="O69" i="24" s="1"/>
  <c r="BA57" i="15"/>
  <c r="AZ57" i="15"/>
  <c r="BB57" i="15"/>
  <c r="AY51" i="12"/>
  <c r="BB51" i="12" s="1"/>
  <c r="AY54" i="18"/>
  <c r="AY51" i="18"/>
  <c r="AY57" i="12"/>
  <c r="BL41" i="21"/>
  <c r="AY54" i="12"/>
  <c r="O23" i="15"/>
  <c r="F43" i="15"/>
  <c r="N16" i="26"/>
  <c r="AI88" i="6"/>
  <c r="K34" i="27"/>
  <c r="Z34" i="16"/>
  <c r="K23" i="15"/>
  <c r="S52" i="14"/>
  <c r="S21" i="14"/>
  <c r="L174" i="21"/>
  <c r="K113" i="21"/>
  <c r="N76" i="21"/>
  <c r="P165" i="21"/>
  <c r="P166" i="21" s="1"/>
  <c r="P167" i="21" s="1"/>
  <c r="P174" i="21" s="1"/>
  <c r="P78" i="21"/>
  <c r="P80" i="21" s="1"/>
  <c r="P81" i="21" s="1"/>
  <c r="P82" i="21" s="1"/>
  <c r="O134" i="21"/>
  <c r="O133" i="21"/>
  <c r="O132" i="21"/>
  <c r="O135" i="21" s="1"/>
  <c r="M110" i="21"/>
  <c r="M113" i="21" s="1"/>
  <c r="L99" i="21"/>
  <c r="R78" i="21"/>
  <c r="R80" i="21" s="1"/>
  <c r="R81" i="21" s="1"/>
  <c r="R82" i="21" s="1"/>
  <c r="AI8" i="21"/>
  <c r="Q78" i="21"/>
  <c r="Q80" i="21" s="1"/>
  <c r="Q81" i="21" s="1"/>
  <c r="Q82" i="21" s="1"/>
  <c r="O78" i="21"/>
  <c r="O80" i="21" s="1"/>
  <c r="O81" i="21" s="1"/>
  <c r="O82" i="21" s="1"/>
  <c r="AM45" i="30"/>
  <c r="N68" i="6" l="1"/>
  <c r="S42" i="21" s="1"/>
  <c r="N63" i="6"/>
  <c r="L49" i="12"/>
  <c r="E38" i="8" s="1"/>
  <c r="G25" i="27"/>
  <c r="AC49" i="27" s="1"/>
  <c r="AC52" i="27" s="1"/>
  <c r="AC53" i="27" s="1"/>
  <c r="N49" i="12"/>
  <c r="N57" i="12" s="1"/>
  <c r="BE57" i="12" s="1"/>
  <c r="BH57" i="12" s="1"/>
  <c r="L49" i="18"/>
  <c r="L51" i="18" s="1"/>
  <c r="BD51" i="18" s="1"/>
  <c r="BG51" i="18" s="1"/>
  <c r="J49" i="15"/>
  <c r="J57" i="15" s="1"/>
  <c r="BC57" i="15" s="1"/>
  <c r="BF57" i="15" s="1"/>
  <c r="J49" i="12"/>
  <c r="D38" i="8" s="1"/>
  <c r="J49" i="18"/>
  <c r="J84" i="18" s="1"/>
  <c r="J85" i="18" s="1"/>
  <c r="H25" i="27"/>
  <c r="N49" i="18"/>
  <c r="N51" i="18" s="1"/>
  <c r="BE51" i="18" s="1"/>
  <c r="BH51" i="18" s="1"/>
  <c r="J25" i="27"/>
  <c r="I25" i="27"/>
  <c r="S49" i="5"/>
  <c r="K65" i="18"/>
  <c r="N62" i="6"/>
  <c r="S45" i="21" s="1"/>
  <c r="AH45" i="21" s="1"/>
  <c r="N74" i="6"/>
  <c r="R55" i="15" s="1"/>
  <c r="N80" i="6"/>
  <c r="S43" i="21" s="1"/>
  <c r="Q43" i="21" s="1"/>
  <c r="BY41" i="21" s="1"/>
  <c r="N78" i="6"/>
  <c r="S49" i="21" s="1"/>
  <c r="AG49" i="21" s="1"/>
  <c r="N79" i="6"/>
  <c r="N65" i="6"/>
  <c r="N77" i="6"/>
  <c r="N64" i="6"/>
  <c r="N76" i="6"/>
  <c r="N75" i="6"/>
  <c r="X49" i="5"/>
  <c r="N67" i="6"/>
  <c r="N81" i="6"/>
  <c r="N69" i="6"/>
  <c r="N66" i="6"/>
  <c r="S48" i="21" s="1"/>
  <c r="M135" i="21"/>
  <c r="O116" i="21"/>
  <c r="P52" i="21" s="1"/>
  <c r="Q50" i="21" s="1"/>
  <c r="M34" i="22" s="1"/>
  <c r="O115" i="21"/>
  <c r="W70" i="5"/>
  <c r="V17" i="8"/>
  <c r="S22" i="23"/>
  <c r="S55" i="23"/>
  <c r="M66" i="15"/>
  <c r="K66" i="15" s="1"/>
  <c r="K67" i="15" s="1"/>
  <c r="S4" i="23"/>
  <c r="M67" i="18"/>
  <c r="S2" i="8"/>
  <c r="P7" i="5"/>
  <c r="M13" i="6" s="1"/>
  <c r="N13" i="6" s="1"/>
  <c r="O65" i="12"/>
  <c r="O210" i="13" s="1"/>
  <c r="V24" i="8"/>
  <c r="V21" i="8"/>
  <c r="V20" i="8"/>
  <c r="V18" i="8"/>
  <c r="W71" i="5"/>
  <c r="V49" i="5"/>
  <c r="S70" i="5"/>
  <c r="P56" i="5"/>
  <c r="V50" i="5"/>
  <c r="V51" i="5"/>
  <c r="S71" i="5"/>
  <c r="S50" i="5"/>
  <c r="M23" i="12"/>
  <c r="F43" i="18"/>
  <c r="J24" i="18"/>
  <c r="F43" i="12"/>
  <c r="K23" i="12"/>
  <c r="F221" i="19"/>
  <c r="K66" i="18"/>
  <c r="K67" i="18" s="1"/>
  <c r="O66" i="18"/>
  <c r="O67" i="18" s="1"/>
  <c r="F221" i="13"/>
  <c r="M65" i="12"/>
  <c r="M210" i="19" s="1"/>
  <c r="Q210" i="19" s="1"/>
  <c r="J66" i="18"/>
  <c r="F221" i="16"/>
  <c r="O65" i="15"/>
  <c r="M65" i="18"/>
  <c r="K65" i="12"/>
  <c r="K210" i="16" s="1"/>
  <c r="K65" i="15"/>
  <c r="M65" i="15"/>
  <c r="M66" i="12"/>
  <c r="L66" i="12" s="1"/>
  <c r="O65" i="18"/>
  <c r="R56" i="5"/>
  <c r="AZ54" i="15"/>
  <c r="BB54" i="15"/>
  <c r="M59" i="12"/>
  <c r="M36" i="13" s="1"/>
  <c r="R27" i="14" s="1"/>
  <c r="R59" i="14" s="1"/>
  <c r="O59" i="12"/>
  <c r="O36" i="13" s="1"/>
  <c r="P36" i="13" s="1"/>
  <c r="S83" i="14"/>
  <c r="BB57" i="18"/>
  <c r="Y34" i="16"/>
  <c r="AA34" i="19"/>
  <c r="BU44" i="21"/>
  <c r="M59" i="15"/>
  <c r="M36" i="16" s="1"/>
  <c r="N36" i="16" s="1"/>
  <c r="AC34" i="19"/>
  <c r="M59" i="18"/>
  <c r="M36" i="19" s="1"/>
  <c r="R27" i="20" s="1"/>
  <c r="R59" i="20" s="1"/>
  <c r="Y34" i="19"/>
  <c r="AA34" i="13"/>
  <c r="F59" i="12"/>
  <c r="P33" i="5"/>
  <c r="E67" i="12" s="1"/>
  <c r="O59" i="15"/>
  <c r="O36" i="16" s="1"/>
  <c r="S27" i="17" s="1"/>
  <c r="S59" i="17" s="1"/>
  <c r="F59" i="15"/>
  <c r="D50" i="21"/>
  <c r="AC34" i="16"/>
  <c r="O59" i="18"/>
  <c r="O36" i="19" s="1"/>
  <c r="K59" i="12"/>
  <c r="K36" i="13" s="1"/>
  <c r="Q27" i="14" s="1"/>
  <c r="Q59" i="14" s="1"/>
  <c r="Y34" i="13"/>
  <c r="K59" i="18"/>
  <c r="K36" i="19" s="1"/>
  <c r="Q27" i="20" s="1"/>
  <c r="Q59" i="20" s="1"/>
  <c r="F59" i="18"/>
  <c r="AC34" i="13"/>
  <c r="P30" i="5"/>
  <c r="G46" i="18" s="1"/>
  <c r="S4" i="14"/>
  <c r="W72" i="5"/>
  <c r="S53" i="14"/>
  <c r="S22" i="14"/>
  <c r="BA57" i="18"/>
  <c r="N101" i="21"/>
  <c r="M105" i="21" s="1"/>
  <c r="M106" i="21" s="1"/>
  <c r="M116" i="21" s="1"/>
  <c r="N52" i="21" s="1"/>
  <c r="L51" i="15"/>
  <c r="BD51" i="15" s="1"/>
  <c r="BG51" i="15" s="1"/>
  <c r="L57" i="15"/>
  <c r="BD57" i="15" s="1"/>
  <c r="BG57" i="15" s="1"/>
  <c r="I38" i="8"/>
  <c r="L84" i="15"/>
  <c r="L85" i="15" s="1"/>
  <c r="Y72" i="5"/>
  <c r="S36" i="14"/>
  <c r="P31" i="5"/>
  <c r="J38" i="8"/>
  <c r="N54" i="15"/>
  <c r="BE54" i="15" s="1"/>
  <c r="BH54" i="15" s="1"/>
  <c r="N57" i="15"/>
  <c r="BE57" i="15" s="1"/>
  <c r="BH57" i="15" s="1"/>
  <c r="N51" i="15"/>
  <c r="BE51" i="15" s="1"/>
  <c r="BH51" i="15" s="1"/>
  <c r="N84" i="15"/>
  <c r="N85" i="15" s="1"/>
  <c r="P20" i="5"/>
  <c r="P19" i="5"/>
  <c r="P21" i="5"/>
  <c r="K78" i="21"/>
  <c r="K80" i="21" s="1"/>
  <c r="K81" i="21" s="1"/>
  <c r="K82" i="21" s="1"/>
  <c r="J74" i="21"/>
  <c r="J78" i="21" s="1"/>
  <c r="J80" i="21" s="1"/>
  <c r="J81" i="21" s="1"/>
  <c r="J82" i="21" s="1"/>
  <c r="L54" i="15"/>
  <c r="BD54" i="15" s="1"/>
  <c r="BG54" i="15" s="1"/>
  <c r="P22" i="5"/>
  <c r="X51" i="5"/>
  <c r="D67" i="27"/>
  <c r="BQ47" i="21"/>
  <c r="BT47" i="21" s="1"/>
  <c r="BP41" i="21"/>
  <c r="BS41" i="21" s="1"/>
  <c r="BR47" i="21"/>
  <c r="BU47" i="21" s="1"/>
  <c r="BS47" i="21"/>
  <c r="BR41" i="21"/>
  <c r="BU41" i="21" s="1"/>
  <c r="BQ44" i="21"/>
  <c r="BT44" i="21" s="1"/>
  <c r="AZ51" i="15"/>
  <c r="BP44" i="21"/>
  <c r="BS44" i="21" s="1"/>
  <c r="BB51" i="15"/>
  <c r="Y71" i="5"/>
  <c r="R78" i="5"/>
  <c r="Y70" i="5"/>
  <c r="M210" i="16"/>
  <c r="Q210" i="16" s="1"/>
  <c r="O66" i="15"/>
  <c r="O67" i="15" s="1"/>
  <c r="P36" i="16"/>
  <c r="P78" i="5"/>
  <c r="S36" i="17"/>
  <c r="S4" i="17"/>
  <c r="S22" i="17"/>
  <c r="S83" i="17"/>
  <c r="S53" i="17"/>
  <c r="S71" i="17"/>
  <c r="P62" i="5"/>
  <c r="P63" i="5"/>
  <c r="M19" i="7"/>
  <c r="M7" i="7"/>
  <c r="N44" i="6"/>
  <c r="N54" i="6"/>
  <c r="N51" i="6"/>
  <c r="N55" i="6"/>
  <c r="N28" i="21" s="1"/>
  <c r="N15" i="6"/>
  <c r="N14" i="6"/>
  <c r="N26" i="6"/>
  <c r="N45" i="6"/>
  <c r="N36" i="6"/>
  <c r="N16" i="6"/>
  <c r="N40" i="6"/>
  <c r="N18" i="6"/>
  <c r="N53" i="6"/>
  <c r="N47" i="6"/>
  <c r="N50" i="6"/>
  <c r="N52" i="6"/>
  <c r="N56" i="6"/>
  <c r="N24" i="6"/>
  <c r="N17" i="6"/>
  <c r="N23" i="6"/>
  <c r="N11" i="6"/>
  <c r="N49" i="6"/>
  <c r="N48" i="6"/>
  <c r="N22" i="6"/>
  <c r="N57" i="6"/>
  <c r="E230" i="16"/>
  <c r="E230" i="13"/>
  <c r="E230" i="19"/>
  <c r="N58" i="6"/>
  <c r="Q27" i="17"/>
  <c r="Q59" i="17" s="1"/>
  <c r="L36" i="16"/>
  <c r="I50" i="24"/>
  <c r="I43" i="24"/>
  <c r="AZ51" i="12"/>
  <c r="BA51" i="12"/>
  <c r="BA60" i="15"/>
  <c r="BT41" i="21"/>
  <c r="BB54" i="12"/>
  <c r="AZ54" i="12"/>
  <c r="BA54" i="12"/>
  <c r="BB57" i="12"/>
  <c r="AZ57" i="12"/>
  <c r="BA57" i="12"/>
  <c r="AZ54" i="18"/>
  <c r="BB54" i="18"/>
  <c r="BA54" i="18"/>
  <c r="BB51" i="18"/>
  <c r="AZ51" i="18"/>
  <c r="BA51" i="18"/>
  <c r="L100" i="21"/>
  <c r="K104" i="21" s="1"/>
  <c r="P176" i="21"/>
  <c r="P175" i="21"/>
  <c r="N77" i="21"/>
  <c r="N78" i="21" s="1"/>
  <c r="N80" i="21" s="1"/>
  <c r="N81" i="21" s="1"/>
  <c r="N82" i="21" s="1"/>
  <c r="M76" i="21"/>
  <c r="L175" i="21"/>
  <c r="L176" i="21"/>
  <c r="AA34" i="16"/>
  <c r="J51" i="18" l="1"/>
  <c r="BC51" i="18" s="1"/>
  <c r="BF51" i="18" s="1"/>
  <c r="L84" i="18"/>
  <c r="L85" i="18" s="1"/>
  <c r="M38" i="8"/>
  <c r="L54" i="18"/>
  <c r="BD54" i="18" s="1"/>
  <c r="BG54" i="18" s="1"/>
  <c r="J54" i="15"/>
  <c r="BC54" i="15" s="1"/>
  <c r="BF54" i="15" s="1"/>
  <c r="J54" i="12"/>
  <c r="BC54" i="12" s="1"/>
  <c r="BF54" i="12" s="1"/>
  <c r="L57" i="18"/>
  <c r="BD57" i="18" s="1"/>
  <c r="BG57" i="18" s="1"/>
  <c r="J84" i="15"/>
  <c r="J85" i="15" s="1"/>
  <c r="J87" i="15" s="1"/>
  <c r="J84" i="12"/>
  <c r="J85" i="12" s="1"/>
  <c r="J88" i="12" s="1"/>
  <c r="J51" i="12"/>
  <c r="BC51" i="12" s="1"/>
  <c r="BF51" i="12" s="1"/>
  <c r="H38" i="8"/>
  <c r="J57" i="12"/>
  <c r="BC57" i="12" s="1"/>
  <c r="BF57" i="12" s="1"/>
  <c r="J51" i="15"/>
  <c r="BC51" i="15" s="1"/>
  <c r="BF51" i="15" s="1"/>
  <c r="BF60" i="15" s="1"/>
  <c r="J61" i="15" s="1"/>
  <c r="X36" i="16" s="1"/>
  <c r="X37" i="16" s="1"/>
  <c r="Y37" i="16" s="1"/>
  <c r="Z32" i="22"/>
  <c r="M32" i="22"/>
  <c r="S37" i="8" s="1"/>
  <c r="L57" i="12"/>
  <c r="BD57" i="12" s="1"/>
  <c r="BG57" i="12" s="1"/>
  <c r="J57" i="18"/>
  <c r="BC57" i="18" s="1"/>
  <c r="BF57" i="18" s="1"/>
  <c r="L54" i="12"/>
  <c r="BD54" i="12" s="1"/>
  <c r="BG54" i="12" s="1"/>
  <c r="N51" i="12"/>
  <c r="BE51" i="12" s="1"/>
  <c r="BH51" i="12" s="1"/>
  <c r="L38" i="8"/>
  <c r="L84" i="12"/>
  <c r="L85" i="12" s="1"/>
  <c r="L93" i="12" s="1"/>
  <c r="L94" i="12" s="1"/>
  <c r="L95" i="12" s="1"/>
  <c r="L42" i="12" s="1"/>
  <c r="E22" i="8" s="1"/>
  <c r="L51" i="12"/>
  <c r="BD51" i="12" s="1"/>
  <c r="BG51" i="12" s="1"/>
  <c r="N38" i="8"/>
  <c r="N54" i="18"/>
  <c r="BE54" i="18" s="1"/>
  <c r="BH54" i="18" s="1"/>
  <c r="F38" i="8"/>
  <c r="N84" i="12"/>
  <c r="N85" i="12" s="1"/>
  <c r="N87" i="12" s="1"/>
  <c r="N84" i="18"/>
  <c r="N85" i="18" s="1"/>
  <c r="N54" i="12"/>
  <c r="BE54" i="12" s="1"/>
  <c r="BH54" i="12" s="1"/>
  <c r="J54" i="18"/>
  <c r="BC54" i="18" s="1"/>
  <c r="BF54" i="18" s="1"/>
  <c r="N57" i="18"/>
  <c r="BE57" i="18" s="1"/>
  <c r="BH57" i="18" s="1"/>
  <c r="M55" i="15"/>
  <c r="R52" i="18"/>
  <c r="D52" i="18" s="1"/>
  <c r="O210" i="19"/>
  <c r="O210" i="16"/>
  <c r="X52" i="5"/>
  <c r="M64" i="15" s="1"/>
  <c r="K64" i="15" s="1"/>
  <c r="K39" i="16" s="1"/>
  <c r="Q29" i="17" s="1"/>
  <c r="Q61" i="17" s="1"/>
  <c r="R52" i="12"/>
  <c r="D52" i="12" s="1"/>
  <c r="M37" i="6"/>
  <c r="N37" i="6" s="1"/>
  <c r="L66" i="15"/>
  <c r="N66" i="15" s="1"/>
  <c r="R52" i="15"/>
  <c r="O52" i="15" s="1"/>
  <c r="M67" i="15"/>
  <c r="K210" i="13"/>
  <c r="M115" i="21"/>
  <c r="W73" i="5"/>
  <c r="O56" i="21" s="1"/>
  <c r="Q56" i="21" s="1"/>
  <c r="M36" i="22" s="1"/>
  <c r="M25" i="6"/>
  <c r="N25" i="6" s="1"/>
  <c r="M12" i="21" s="1"/>
  <c r="K11" i="22" s="1"/>
  <c r="M43" i="6"/>
  <c r="N43" i="6" s="1"/>
  <c r="M16" i="18" s="1"/>
  <c r="M15" i="18" s="1"/>
  <c r="M11" i="19" s="1"/>
  <c r="M34" i="6"/>
  <c r="N34" i="6" s="1"/>
  <c r="M28" i="6"/>
  <c r="N28" i="6" s="1"/>
  <c r="K19" i="15" s="1"/>
  <c r="K18" i="15" s="1"/>
  <c r="K12" i="16" s="1"/>
  <c r="H9" i="8" s="1"/>
  <c r="M39" i="6"/>
  <c r="N39" i="6" s="1"/>
  <c r="M16" i="15" s="1"/>
  <c r="K16" i="15" s="1"/>
  <c r="K15" i="15" s="1"/>
  <c r="K11" i="16" s="1"/>
  <c r="M42" i="6"/>
  <c r="N42" i="6" s="1"/>
  <c r="M38" i="6"/>
  <c r="N38" i="6" s="1"/>
  <c r="M41" i="6"/>
  <c r="N41" i="6" s="1"/>
  <c r="M35" i="6"/>
  <c r="N35" i="6" s="1"/>
  <c r="M16" i="12" s="1"/>
  <c r="K16" i="12" s="1"/>
  <c r="K15" i="12" s="1"/>
  <c r="K11" i="13" s="1"/>
  <c r="M20" i="6"/>
  <c r="N20" i="6" s="1"/>
  <c r="M13" i="15" s="1"/>
  <c r="M8" i="16" s="1"/>
  <c r="M29" i="6"/>
  <c r="N29" i="6" s="1"/>
  <c r="K19" i="18" s="1"/>
  <c r="K18" i="18" s="1"/>
  <c r="K12" i="19" s="1"/>
  <c r="L9" i="8" s="1"/>
  <c r="M19" i="6"/>
  <c r="N19" i="6" s="1"/>
  <c r="M13" i="12" s="1"/>
  <c r="M46" i="6"/>
  <c r="N46" i="6" s="1"/>
  <c r="H31" i="12" s="1"/>
  <c r="S7" i="5"/>
  <c r="D9" i="22" s="1"/>
  <c r="M33" i="6"/>
  <c r="N33" i="6" s="1"/>
  <c r="M27" i="6"/>
  <c r="N27" i="6" s="1"/>
  <c r="O19" i="12" s="1"/>
  <c r="O18" i="12" s="1"/>
  <c r="O12" i="13" s="1"/>
  <c r="F9" i="8" s="1"/>
  <c r="M31" i="6"/>
  <c r="N31" i="6" s="1"/>
  <c r="O18" i="21" s="1"/>
  <c r="Q18" i="21" s="1"/>
  <c r="M21" i="6"/>
  <c r="N21" i="6" s="1"/>
  <c r="M13" i="18" s="1"/>
  <c r="M67" i="12"/>
  <c r="M210" i="13"/>
  <c r="K66" i="12"/>
  <c r="K67" i="12" s="1"/>
  <c r="O66" i="12"/>
  <c r="O67" i="12" s="1"/>
  <c r="V52" i="5"/>
  <c r="M63" i="15" s="1"/>
  <c r="O63" i="15" s="1"/>
  <c r="O38" i="16" s="1"/>
  <c r="BB60" i="15"/>
  <c r="R57" i="12"/>
  <c r="AO57" i="12" s="1"/>
  <c r="R58" i="18"/>
  <c r="K210" i="19"/>
  <c r="O49" i="21"/>
  <c r="BX47" i="21" s="1"/>
  <c r="AZ60" i="15"/>
  <c r="R58" i="15"/>
  <c r="D58" i="15" s="1"/>
  <c r="R54" i="12"/>
  <c r="AS54" i="12" s="1"/>
  <c r="Q45" i="21"/>
  <c r="AD45" i="21"/>
  <c r="R54" i="18"/>
  <c r="AB45" i="21"/>
  <c r="R51" i="15"/>
  <c r="AK51" i="15" s="1"/>
  <c r="R55" i="12"/>
  <c r="R55" i="18"/>
  <c r="D55" i="18" s="1"/>
  <c r="N36" i="13"/>
  <c r="S27" i="14"/>
  <c r="S59" i="14" s="1"/>
  <c r="L36" i="13"/>
  <c r="R27" i="17"/>
  <c r="R59" i="17" s="1"/>
  <c r="G46" i="15"/>
  <c r="E67" i="18"/>
  <c r="M45" i="21"/>
  <c r="R51" i="18"/>
  <c r="AQ51" i="18" s="1"/>
  <c r="R51" i="12"/>
  <c r="G46" i="12"/>
  <c r="AF45" i="21"/>
  <c r="M49" i="21"/>
  <c r="BW47" i="21" s="1"/>
  <c r="D49" i="21"/>
  <c r="Q49" i="21"/>
  <c r="BY47" i="21" s="1"/>
  <c r="N36" i="19"/>
  <c r="B45" i="8"/>
  <c r="R58" i="12"/>
  <c r="K58" i="12" s="1"/>
  <c r="H36" i="21"/>
  <c r="E67" i="15"/>
  <c r="S46" i="21"/>
  <c r="Q46" i="21" s="1"/>
  <c r="BY44" i="21" s="1"/>
  <c r="R57" i="15"/>
  <c r="AM57" i="15" s="1"/>
  <c r="D45" i="21"/>
  <c r="AG45" i="21"/>
  <c r="L36" i="19"/>
  <c r="S27" i="20"/>
  <c r="S59" i="20" s="1"/>
  <c r="P36" i="19"/>
  <c r="O45" i="21"/>
  <c r="Z45" i="21"/>
  <c r="R54" i="15"/>
  <c r="K54" i="15" s="1"/>
  <c r="X45" i="21"/>
  <c r="R57" i="18"/>
  <c r="AK57" i="18" s="1"/>
  <c r="O50" i="21"/>
  <c r="L34" i="22" s="1"/>
  <c r="R27" i="23" s="1"/>
  <c r="L32" i="22"/>
  <c r="R37" i="8" s="1"/>
  <c r="X32" i="22"/>
  <c r="Y32" i="22" s="1"/>
  <c r="P23" i="5"/>
  <c r="K22" i="12" s="1"/>
  <c r="J87" i="12"/>
  <c r="L87" i="12"/>
  <c r="J88" i="15"/>
  <c r="N87" i="15"/>
  <c r="N88" i="15"/>
  <c r="N93" i="15"/>
  <c r="N94" i="15" s="1"/>
  <c r="N95" i="15" s="1"/>
  <c r="N42" i="15" s="1"/>
  <c r="N87" i="18"/>
  <c r="N88" i="18"/>
  <c r="N93" i="18"/>
  <c r="N94" i="18" s="1"/>
  <c r="N95" i="18" s="1"/>
  <c r="N42" i="18" s="1"/>
  <c r="S51" i="5"/>
  <c r="S52" i="5" s="1"/>
  <c r="S72" i="5"/>
  <c r="S73" i="5" s="1"/>
  <c r="O54" i="21" s="1"/>
  <c r="M54" i="21" s="1"/>
  <c r="K35" i="22" s="1"/>
  <c r="L87" i="18"/>
  <c r="L93" i="18"/>
  <c r="L94" i="18" s="1"/>
  <c r="L95" i="18" s="1"/>
  <c r="L42" i="18" s="1"/>
  <c r="M22" i="8" s="1"/>
  <c r="L88" i="18"/>
  <c r="L101" i="21"/>
  <c r="K105" i="21" s="1"/>
  <c r="K106" i="21" s="1"/>
  <c r="BC60" i="15"/>
  <c r="L93" i="15"/>
  <c r="L94" i="15" s="1"/>
  <c r="L95" i="15" s="1"/>
  <c r="L42" i="15" s="1"/>
  <c r="I22" i="8" s="1"/>
  <c r="L87" i="15"/>
  <c r="L88" i="15"/>
  <c r="J93" i="18"/>
  <c r="J94" i="18" s="1"/>
  <c r="J95" i="18" s="1"/>
  <c r="J42" i="18" s="1"/>
  <c r="L22" i="8" s="1"/>
  <c r="J88" i="18"/>
  <c r="J87" i="18"/>
  <c r="BT50" i="21"/>
  <c r="N53" i="21" s="1"/>
  <c r="O53" i="21" s="1"/>
  <c r="Y30" i="22" s="1"/>
  <c r="BE60" i="15"/>
  <c r="BU50" i="21"/>
  <c r="P53" i="21" s="1"/>
  <c r="Z34" i="22" s="1"/>
  <c r="AA34" i="22" s="1"/>
  <c r="BD60" i="18"/>
  <c r="D43" i="21"/>
  <c r="BS50" i="21"/>
  <c r="L53" i="21" s="1"/>
  <c r="V34" i="22" s="1"/>
  <c r="W34" i="22" s="1"/>
  <c r="O43" i="21"/>
  <c r="BX41" i="21" s="1"/>
  <c r="M43" i="21"/>
  <c r="BW41" i="21" s="1"/>
  <c r="BH60" i="15"/>
  <c r="N61" i="15" s="1"/>
  <c r="AB36" i="16" s="1"/>
  <c r="BF60" i="12"/>
  <c r="J61" i="12" s="1"/>
  <c r="K61" i="12" s="1"/>
  <c r="Y73" i="5"/>
  <c r="O57" i="21" s="1"/>
  <c r="M57" i="21" s="1"/>
  <c r="K37" i="22" s="1"/>
  <c r="Q29" i="23" s="1"/>
  <c r="H146" i="21"/>
  <c r="H34" i="12"/>
  <c r="AU34" i="21"/>
  <c r="H34" i="18"/>
  <c r="H34" i="15"/>
  <c r="H149" i="21"/>
  <c r="AU37" i="21"/>
  <c r="H148" i="21"/>
  <c r="AU36" i="21"/>
  <c r="H30" i="15"/>
  <c r="H30" i="12"/>
  <c r="H30" i="18"/>
  <c r="M21" i="7"/>
  <c r="M24" i="7"/>
  <c r="M25" i="7"/>
  <c r="M27" i="7"/>
  <c r="M28" i="7"/>
  <c r="M26" i="7"/>
  <c r="M22" i="7"/>
  <c r="M23" i="7"/>
  <c r="L28" i="21"/>
  <c r="H32" i="15"/>
  <c r="H24" i="21"/>
  <c r="H32" i="12"/>
  <c r="H32" i="18"/>
  <c r="H145" i="21"/>
  <c r="AU33" i="21"/>
  <c r="M38" i="22"/>
  <c r="S30" i="23" s="1"/>
  <c r="K38" i="22"/>
  <c r="Q30" i="23" s="1"/>
  <c r="L38" i="22"/>
  <c r="R30" i="23" s="1"/>
  <c r="H151" i="21"/>
  <c r="AU39" i="21"/>
  <c r="M9" i="7"/>
  <c r="M8" i="7"/>
  <c r="N66" i="12"/>
  <c r="J66" i="12"/>
  <c r="C7" i="17"/>
  <c r="C44" i="23"/>
  <c r="M9" i="21"/>
  <c r="M9" i="12"/>
  <c r="O9" i="12"/>
  <c r="J43" i="18"/>
  <c r="L23" i="8" s="1"/>
  <c r="L43" i="18"/>
  <c r="M23" i="8" s="1"/>
  <c r="N43" i="12"/>
  <c r="L43" i="15"/>
  <c r="I23" i="8" s="1"/>
  <c r="N43" i="15"/>
  <c r="J23" i="8" s="1"/>
  <c r="N43" i="18"/>
  <c r="N23" i="8" s="1"/>
  <c r="L43" i="12"/>
  <c r="J43" i="15"/>
  <c r="H23" i="8" s="1"/>
  <c r="J43" i="12"/>
  <c r="P28" i="21"/>
  <c r="H33" i="15"/>
  <c r="H33" i="12"/>
  <c r="H33" i="18"/>
  <c r="N29" i="21"/>
  <c r="L21" i="22" s="1"/>
  <c r="L39" i="12"/>
  <c r="N39" i="12"/>
  <c r="N39" i="18"/>
  <c r="P29" i="21"/>
  <c r="L39" i="15"/>
  <c r="L39" i="18"/>
  <c r="J39" i="18"/>
  <c r="L29" i="21"/>
  <c r="J39" i="15"/>
  <c r="J39" i="12"/>
  <c r="N39" i="15"/>
  <c r="M211" i="16"/>
  <c r="Q211" i="16" s="1"/>
  <c r="M40" i="13"/>
  <c r="M40" i="16"/>
  <c r="M40" i="19"/>
  <c r="M211" i="13"/>
  <c r="M211" i="19"/>
  <c r="Q211" i="19" s="1"/>
  <c r="AF42" i="21"/>
  <c r="O42" i="21"/>
  <c r="Z42" i="21"/>
  <c r="AG42" i="21"/>
  <c r="M42" i="21"/>
  <c r="D42" i="21"/>
  <c r="AD42" i="21"/>
  <c r="X42" i="21"/>
  <c r="AH42" i="21"/>
  <c r="AB42" i="21"/>
  <c r="Q42" i="21"/>
  <c r="AZ60" i="18"/>
  <c r="BA60" i="12"/>
  <c r="BB60" i="12"/>
  <c r="AZ60" i="12"/>
  <c r="BG60" i="18"/>
  <c r="L61" i="18" s="1"/>
  <c r="BA60" i="18"/>
  <c r="BB60" i="18"/>
  <c r="S27" i="23"/>
  <c r="BG60" i="15"/>
  <c r="L61" i="15" s="1"/>
  <c r="BD60" i="15"/>
  <c r="L76" i="21"/>
  <c r="L77" i="21" s="1"/>
  <c r="L78" i="21" s="1"/>
  <c r="L80" i="21" s="1"/>
  <c r="L81" i="21" s="1"/>
  <c r="L82" i="21" s="1"/>
  <c r="M77" i="21"/>
  <c r="M78" i="21" s="1"/>
  <c r="M80" i="21" s="1"/>
  <c r="M81" i="21" s="1"/>
  <c r="M82" i="21" s="1"/>
  <c r="O55" i="15"/>
  <c r="D55" i="15"/>
  <c r="AA32" i="22"/>
  <c r="AB48" i="21"/>
  <c r="X48" i="21"/>
  <c r="M48" i="21"/>
  <c r="AG48" i="21"/>
  <c r="Q48" i="21"/>
  <c r="D48" i="21"/>
  <c r="Z48" i="21"/>
  <c r="AF48" i="21"/>
  <c r="AH48" i="21"/>
  <c r="O48" i="21"/>
  <c r="AD48" i="21"/>
  <c r="BC60" i="12" l="1"/>
  <c r="L88" i="12"/>
  <c r="K55" i="15"/>
  <c r="J93" i="15"/>
  <c r="J94" i="15" s="1"/>
  <c r="J95" i="15" s="1"/>
  <c r="J42" i="15" s="1"/>
  <c r="J93" i="12"/>
  <c r="J94" i="12" s="1"/>
  <c r="J95" i="12" s="1"/>
  <c r="J42" i="12" s="1"/>
  <c r="D22" i="8" s="1"/>
  <c r="M51" i="12"/>
  <c r="V38" i="8"/>
  <c r="K58" i="18"/>
  <c r="BH60" i="12"/>
  <c r="N61" i="12" s="1"/>
  <c r="O61" i="12" s="1"/>
  <c r="L36" i="22"/>
  <c r="BG60" i="12"/>
  <c r="L61" i="12" s="1"/>
  <c r="Z36" i="13" s="1"/>
  <c r="Z37" i="13" s="1"/>
  <c r="AA37" i="13" s="1"/>
  <c r="BC60" i="18"/>
  <c r="D8" i="19"/>
  <c r="D8" i="16"/>
  <c r="BF60" i="18"/>
  <c r="J61" i="18" s="1"/>
  <c r="K61" i="18" s="1"/>
  <c r="BE60" i="12"/>
  <c r="BD60" i="12"/>
  <c r="M55" i="12"/>
  <c r="BE60" i="18"/>
  <c r="N88" i="12"/>
  <c r="N89" i="12" s="1"/>
  <c r="O54" i="18"/>
  <c r="BH60" i="18"/>
  <c r="N61" i="18" s="1"/>
  <c r="O61" i="18" s="1"/>
  <c r="N93" i="12"/>
  <c r="N94" i="12" s="1"/>
  <c r="N95" i="12" s="1"/>
  <c r="N42" i="12" s="1"/>
  <c r="F22" i="8" s="1"/>
  <c r="C63" i="23"/>
  <c r="M52" i="12"/>
  <c r="O52" i="18"/>
  <c r="K52" i="12"/>
  <c r="K52" i="15"/>
  <c r="M27" i="15"/>
  <c r="M26" i="15" s="1"/>
  <c r="Q12" i="21"/>
  <c r="M11" i="22" s="1"/>
  <c r="S9" i="23" s="1"/>
  <c r="M52" i="15"/>
  <c r="D52" i="15"/>
  <c r="M52" i="18"/>
  <c r="K52" i="18"/>
  <c r="O52" i="12"/>
  <c r="M64" i="18"/>
  <c r="M39" i="19" s="1"/>
  <c r="R29" i="20" s="1"/>
  <c r="R61" i="20" s="1"/>
  <c r="M39" i="16"/>
  <c r="R29" i="17" s="1"/>
  <c r="R61" i="17" s="1"/>
  <c r="M64" i="12"/>
  <c r="M209" i="16" s="1"/>
  <c r="Q209" i="16" s="1"/>
  <c r="O64" i="15"/>
  <c r="O39" i="16" s="1"/>
  <c r="S29" i="17" s="1"/>
  <c r="S61" i="17" s="1"/>
  <c r="O19" i="18"/>
  <c r="O18" i="18" s="1"/>
  <c r="O12" i="19" s="1"/>
  <c r="N9" i="8" s="1"/>
  <c r="J66" i="15"/>
  <c r="M19" i="15"/>
  <c r="M18" i="15" s="1"/>
  <c r="M12" i="16" s="1"/>
  <c r="I9" i="8" s="1"/>
  <c r="M19" i="12"/>
  <c r="M18" i="12" s="1"/>
  <c r="M12" i="13" s="1"/>
  <c r="E9" i="8" s="1"/>
  <c r="H31" i="15"/>
  <c r="K31" i="15" s="1"/>
  <c r="H31" i="18"/>
  <c r="K31" i="18" s="1"/>
  <c r="K19" i="12"/>
  <c r="K18" i="12" s="1"/>
  <c r="K12" i="13" s="1"/>
  <c r="D9" i="8" s="1"/>
  <c r="O19" i="15"/>
  <c r="O18" i="15" s="1"/>
  <c r="O12" i="16" s="1"/>
  <c r="J9" i="8" s="1"/>
  <c r="O9" i="15"/>
  <c r="F56" i="13"/>
  <c r="M9" i="18"/>
  <c r="M9" i="15"/>
  <c r="F56" i="16"/>
  <c r="O9" i="21"/>
  <c r="F56" i="19"/>
  <c r="Q9" i="21"/>
  <c r="K9" i="18"/>
  <c r="N50" i="23"/>
  <c r="O4" i="11"/>
  <c r="F63" i="16"/>
  <c r="M2" i="9"/>
  <c r="C7" i="23"/>
  <c r="D8" i="13"/>
  <c r="M56" i="21"/>
  <c r="K36" i="22" s="1"/>
  <c r="Q28" i="23" s="1"/>
  <c r="O9" i="18"/>
  <c r="C25" i="23"/>
  <c r="W2" i="8"/>
  <c r="G55" i="22"/>
  <c r="B35" i="8"/>
  <c r="K9" i="15"/>
  <c r="F63" i="19"/>
  <c r="C59" i="23"/>
  <c r="C7" i="14"/>
  <c r="C25" i="14" s="1"/>
  <c r="F63" i="13"/>
  <c r="K9" i="12"/>
  <c r="C7" i="20"/>
  <c r="C87" i="20" s="1"/>
  <c r="M27" i="12"/>
  <c r="K16" i="18"/>
  <c r="K15" i="18" s="1"/>
  <c r="K11" i="19" s="1"/>
  <c r="L8" i="8" s="1"/>
  <c r="M27" i="18"/>
  <c r="M26" i="18" s="1"/>
  <c r="M17" i="19" s="1"/>
  <c r="O12" i="21"/>
  <c r="L11" i="22" s="1"/>
  <c r="R7" i="8" s="1"/>
  <c r="M38" i="16"/>
  <c r="O16" i="15"/>
  <c r="O15" i="15" s="1"/>
  <c r="O11" i="16" s="1"/>
  <c r="J8" i="8" s="1"/>
  <c r="M15" i="15"/>
  <c r="M11" i="16" s="1"/>
  <c r="I8" i="8" s="1"/>
  <c r="M19" i="18"/>
  <c r="M18" i="18" s="1"/>
  <c r="M12" i="19" s="1"/>
  <c r="M9" i="8" s="1"/>
  <c r="H23" i="21"/>
  <c r="O23" i="21" s="1"/>
  <c r="O16" i="18"/>
  <c r="O15" i="18" s="1"/>
  <c r="O11" i="19" s="1"/>
  <c r="N8" i="8" s="1"/>
  <c r="M15" i="12"/>
  <c r="M11" i="13" s="1"/>
  <c r="E8" i="8" s="1"/>
  <c r="O16" i="12"/>
  <c r="O15" i="12" s="1"/>
  <c r="O11" i="13" s="1"/>
  <c r="F8" i="8" s="1"/>
  <c r="M18" i="21"/>
  <c r="M63" i="12"/>
  <c r="O63" i="12" s="1"/>
  <c r="O208" i="13" s="1"/>
  <c r="M63" i="18"/>
  <c r="M38" i="19" s="1"/>
  <c r="K63" i="15"/>
  <c r="K38" i="16" s="1"/>
  <c r="O58" i="18"/>
  <c r="D58" i="18"/>
  <c r="D57" i="12"/>
  <c r="K57" i="12"/>
  <c r="AQ57" i="12"/>
  <c r="AM57" i="12"/>
  <c r="M58" i="18"/>
  <c r="AK57" i="12"/>
  <c r="AS57" i="12"/>
  <c r="O57" i="12"/>
  <c r="M57" i="12"/>
  <c r="AI57" i="12"/>
  <c r="O55" i="18"/>
  <c r="O58" i="15"/>
  <c r="AC32" i="16" s="1"/>
  <c r="O60" i="16" s="1"/>
  <c r="P60" i="16" s="1"/>
  <c r="M46" i="21"/>
  <c r="BW44" i="21" s="1"/>
  <c r="BW50" i="21" s="1"/>
  <c r="K58" i="22" s="1"/>
  <c r="AI54" i="18"/>
  <c r="AK54" i="18"/>
  <c r="M55" i="18"/>
  <c r="AO51" i="12"/>
  <c r="AQ57" i="15"/>
  <c r="AK54" i="12"/>
  <c r="D51" i="18"/>
  <c r="K54" i="12"/>
  <c r="AO54" i="12"/>
  <c r="AI51" i="18"/>
  <c r="O54" i="12"/>
  <c r="D54" i="12"/>
  <c r="AS57" i="18"/>
  <c r="D46" i="21"/>
  <c r="M58" i="15"/>
  <c r="M54" i="12"/>
  <c r="AO57" i="18"/>
  <c r="O46" i="21"/>
  <c r="BX44" i="21" s="1"/>
  <c r="BX50" i="21" s="1"/>
  <c r="L58" i="22" s="1"/>
  <c r="K58" i="15"/>
  <c r="K55" i="18"/>
  <c r="AS54" i="18"/>
  <c r="AM54" i="18"/>
  <c r="D54" i="18"/>
  <c r="M54" i="18"/>
  <c r="K54" i="18"/>
  <c r="AO54" i="18"/>
  <c r="AQ54" i="18"/>
  <c r="D55" i="12"/>
  <c r="K51" i="12"/>
  <c r="AO51" i="18"/>
  <c r="AI51" i="12"/>
  <c r="AM54" i="12"/>
  <c r="AS51" i="12"/>
  <c r="AI54" i="12"/>
  <c r="D51" i="12"/>
  <c r="AQ54" i="12"/>
  <c r="K51" i="15"/>
  <c r="AO51" i="15"/>
  <c r="AK51" i="18"/>
  <c r="AI51" i="15"/>
  <c r="K55" i="12"/>
  <c r="Y32" i="13" s="1"/>
  <c r="K60" i="13" s="1"/>
  <c r="L60" i="13" s="1"/>
  <c r="M51" i="18"/>
  <c r="O55" i="12"/>
  <c r="AM51" i="18"/>
  <c r="K51" i="18"/>
  <c r="AS51" i="15"/>
  <c r="AS51" i="18"/>
  <c r="O51" i="18"/>
  <c r="D51" i="15"/>
  <c r="AQ51" i="15"/>
  <c r="M51" i="15"/>
  <c r="O51" i="15"/>
  <c r="AM51" i="15"/>
  <c r="BY50" i="21"/>
  <c r="M58" i="22" s="1"/>
  <c r="AI57" i="18"/>
  <c r="M58" i="12"/>
  <c r="AK51" i="12"/>
  <c r="O51" i="12"/>
  <c r="AQ51" i="12"/>
  <c r="AM51" i="12"/>
  <c r="AO57" i="15"/>
  <c r="O57" i="15"/>
  <c r="K57" i="15"/>
  <c r="D58" i="12"/>
  <c r="AM57" i="18"/>
  <c r="O58" i="12"/>
  <c r="AI57" i="15"/>
  <c r="AK57" i="15"/>
  <c r="D57" i="15"/>
  <c r="M57" i="15"/>
  <c r="AS57" i="15"/>
  <c r="O57" i="18"/>
  <c r="AQ57" i="18"/>
  <c r="D57" i="18"/>
  <c r="M57" i="18"/>
  <c r="AM54" i="15"/>
  <c r="M54" i="15"/>
  <c r="AO54" i="15"/>
  <c r="AK54" i="15"/>
  <c r="AI54" i="15"/>
  <c r="AQ54" i="15"/>
  <c r="K57" i="18"/>
  <c r="O54" i="15"/>
  <c r="AS54" i="15"/>
  <c r="D54" i="15"/>
  <c r="L89" i="15"/>
  <c r="L91" i="15"/>
  <c r="L38" i="15" s="1"/>
  <c r="M21" i="16" s="1"/>
  <c r="L35" i="22"/>
  <c r="Q54" i="21"/>
  <c r="M35" i="22" s="1"/>
  <c r="S28" i="23" s="1"/>
  <c r="M62" i="12"/>
  <c r="M62" i="15"/>
  <c r="M62" i="18"/>
  <c r="L91" i="12"/>
  <c r="L38" i="12" s="1"/>
  <c r="E19" i="8" s="1"/>
  <c r="L89" i="12"/>
  <c r="N91" i="15"/>
  <c r="N38" i="15" s="1"/>
  <c r="J19" i="8" s="1"/>
  <c r="N89" i="15"/>
  <c r="N89" i="18"/>
  <c r="N91" i="18"/>
  <c r="N38" i="18" s="1"/>
  <c r="N19" i="8" s="1"/>
  <c r="J91" i="15"/>
  <c r="J38" i="15" s="1"/>
  <c r="H19" i="8" s="1"/>
  <c r="J89" i="15"/>
  <c r="L91" i="18"/>
  <c r="L38" i="18" s="1"/>
  <c r="M21" i="19" s="1"/>
  <c r="L89" i="18"/>
  <c r="J89" i="12"/>
  <c r="J91" i="12"/>
  <c r="J38" i="12" s="1"/>
  <c r="J35" i="12" s="1"/>
  <c r="K35" i="12" s="1"/>
  <c r="J91" i="18"/>
  <c r="J38" i="18" s="1"/>
  <c r="J35" i="18" s="1"/>
  <c r="K35" i="18" s="1"/>
  <c r="J89" i="18"/>
  <c r="M22" i="12"/>
  <c r="M13" i="13" s="1"/>
  <c r="E10" i="8" s="1"/>
  <c r="O22" i="12"/>
  <c r="O13" i="13" s="1"/>
  <c r="F10" i="8" s="1"/>
  <c r="O15" i="21"/>
  <c r="M22" i="18"/>
  <c r="M13" i="19" s="1"/>
  <c r="M10" i="8" s="1"/>
  <c r="K22" i="15"/>
  <c r="K13" i="16" s="1"/>
  <c r="H10" i="8" s="1"/>
  <c r="M22" i="15"/>
  <c r="M13" i="16" s="1"/>
  <c r="I10" i="8" s="1"/>
  <c r="E22" i="18"/>
  <c r="K22" i="18"/>
  <c r="K13" i="19" s="1"/>
  <c r="L10" i="8" s="1"/>
  <c r="E22" i="12"/>
  <c r="O22" i="15"/>
  <c r="O13" i="16" s="1"/>
  <c r="J10" i="8" s="1"/>
  <c r="K13" i="13"/>
  <c r="D10" i="8" s="1"/>
  <c r="O22" i="18"/>
  <c r="O13" i="19" s="1"/>
  <c r="N10" i="8" s="1"/>
  <c r="E22" i="15"/>
  <c r="X34" i="22"/>
  <c r="X35" i="22" s="1"/>
  <c r="O61" i="15"/>
  <c r="AF49" i="21"/>
  <c r="N172" i="21" s="1"/>
  <c r="N177" i="21" s="1"/>
  <c r="O16" i="21" s="1"/>
  <c r="Z35" i="22"/>
  <c r="O13" i="15"/>
  <c r="O12" i="15" s="1"/>
  <c r="AA35" i="22"/>
  <c r="M53" i="21"/>
  <c r="W30" i="22" s="1"/>
  <c r="Q53" i="21"/>
  <c r="AA30" i="22" s="1"/>
  <c r="K21" i="22"/>
  <c r="AH49" i="21"/>
  <c r="P172" i="21" s="1"/>
  <c r="P177" i="21" s="1"/>
  <c r="Q16" i="21" s="1"/>
  <c r="Q37" i="21"/>
  <c r="M27" i="22" s="1"/>
  <c r="L13" i="15"/>
  <c r="J13" i="15" s="1"/>
  <c r="M21" i="22"/>
  <c r="X36" i="13"/>
  <c r="X37" i="13" s="1"/>
  <c r="Y37" i="13" s="1"/>
  <c r="M37" i="21"/>
  <c r="K27" i="22" s="1"/>
  <c r="Y36" i="16"/>
  <c r="K61" i="15"/>
  <c r="S19" i="8"/>
  <c r="AD49" i="21"/>
  <c r="L172" i="21" s="1"/>
  <c r="L173" i="21" s="1"/>
  <c r="Z49" i="21"/>
  <c r="N178" i="21" s="1"/>
  <c r="N179" i="21" s="1"/>
  <c r="N180" i="21" s="1"/>
  <c r="N32" i="21" s="1"/>
  <c r="R22" i="8" s="1"/>
  <c r="M22" i="19"/>
  <c r="Q19" i="8"/>
  <c r="R19" i="8"/>
  <c r="M12" i="15"/>
  <c r="K13" i="15"/>
  <c r="Q57" i="21"/>
  <c r="M37" i="22" s="1"/>
  <c r="S29" i="23" s="1"/>
  <c r="L37" i="22"/>
  <c r="R29" i="23" s="1"/>
  <c r="K64" i="18"/>
  <c r="K39" i="19" s="1"/>
  <c r="Q29" i="20" s="1"/>
  <c r="Q61" i="20" s="1"/>
  <c r="O40" i="19"/>
  <c r="S30" i="20" s="1"/>
  <c r="S62" i="20" s="1"/>
  <c r="K211" i="19"/>
  <c r="O211" i="19"/>
  <c r="K40" i="19"/>
  <c r="Q30" i="20" s="1"/>
  <c r="Q62" i="20" s="1"/>
  <c r="R30" i="20"/>
  <c r="R62" i="20" s="1"/>
  <c r="N22" i="8"/>
  <c r="O22" i="19"/>
  <c r="O33" i="18"/>
  <c r="K33" i="18"/>
  <c r="M33" i="18"/>
  <c r="H22" i="8"/>
  <c r="K22" i="16"/>
  <c r="E23" i="8"/>
  <c r="M22" i="13"/>
  <c r="F23" i="8"/>
  <c r="C74" i="17"/>
  <c r="C39" i="17"/>
  <c r="C87" i="17"/>
  <c r="C25" i="17"/>
  <c r="C56" i="17"/>
  <c r="M151" i="21"/>
  <c r="AY38" i="21"/>
  <c r="Q151" i="21"/>
  <c r="BE38" i="21"/>
  <c r="BC38" i="21"/>
  <c r="BH38" i="21"/>
  <c r="BA38" i="21"/>
  <c r="Q24" i="21"/>
  <c r="O24" i="21"/>
  <c r="M24" i="21"/>
  <c r="M8" i="13"/>
  <c r="M12" i="12"/>
  <c r="K13" i="12"/>
  <c r="O13" i="12"/>
  <c r="L13" i="12"/>
  <c r="K30" i="15"/>
  <c r="O30" i="15"/>
  <c r="M30" i="15"/>
  <c r="BC36" i="21"/>
  <c r="M149" i="21"/>
  <c r="BH36" i="21"/>
  <c r="Q149" i="21"/>
  <c r="AY36" i="21"/>
  <c r="BE36" i="21"/>
  <c r="BA36" i="21"/>
  <c r="O211" i="16"/>
  <c r="R30" i="17"/>
  <c r="R62" i="17" s="1"/>
  <c r="O40" i="16"/>
  <c r="S30" i="17" s="1"/>
  <c r="S62" i="17" s="1"/>
  <c r="K40" i="16"/>
  <c r="Q30" i="17" s="1"/>
  <c r="Q62" i="17" s="1"/>
  <c r="K211" i="16"/>
  <c r="K33" i="12"/>
  <c r="O33" i="12"/>
  <c r="M33" i="12"/>
  <c r="M145" i="21"/>
  <c r="BA32" i="21"/>
  <c r="BE32" i="21"/>
  <c r="Q145" i="21"/>
  <c r="BC32" i="21"/>
  <c r="BH32" i="21"/>
  <c r="AY32" i="21"/>
  <c r="K32" i="15"/>
  <c r="O32" i="15"/>
  <c r="M32" i="15"/>
  <c r="K22" i="19"/>
  <c r="M12" i="18"/>
  <c r="M8" i="19"/>
  <c r="L13" i="18"/>
  <c r="K13" i="18"/>
  <c r="O13" i="18"/>
  <c r="M34" i="12"/>
  <c r="K34" i="12"/>
  <c r="O34" i="12"/>
  <c r="D8" i="8"/>
  <c r="M22" i="16"/>
  <c r="K31" i="12"/>
  <c r="M31" i="12"/>
  <c r="O31" i="12"/>
  <c r="J22" i="8"/>
  <c r="O22" i="16"/>
  <c r="O69" i="16" s="1"/>
  <c r="P69" i="16" s="1"/>
  <c r="K40" i="13"/>
  <c r="Q30" i="14" s="1"/>
  <c r="Q62" i="14" s="1"/>
  <c r="O40" i="13"/>
  <c r="S30" i="14" s="1"/>
  <c r="S62" i="14" s="1"/>
  <c r="K211" i="13"/>
  <c r="R30" i="14"/>
  <c r="R62" i="14" s="1"/>
  <c r="O211" i="13"/>
  <c r="O33" i="15"/>
  <c r="M33" i="15"/>
  <c r="K33" i="15"/>
  <c r="D23" i="8"/>
  <c r="K22" i="13"/>
  <c r="O32" i="18"/>
  <c r="K32" i="18"/>
  <c r="M32" i="18"/>
  <c r="H8" i="8"/>
  <c r="K30" i="18"/>
  <c r="M30" i="18"/>
  <c r="O30" i="18"/>
  <c r="M148" i="21"/>
  <c r="AY35" i="21"/>
  <c r="BC35" i="21"/>
  <c r="BH35" i="21"/>
  <c r="BE35" i="21"/>
  <c r="Q148" i="21"/>
  <c r="BA35" i="21"/>
  <c r="M34" i="15"/>
  <c r="O34" i="15"/>
  <c r="K34" i="15"/>
  <c r="M146" i="21"/>
  <c r="BC33" i="21"/>
  <c r="BE33" i="21"/>
  <c r="AY33" i="21"/>
  <c r="BA33" i="21"/>
  <c r="Q146" i="21"/>
  <c r="BH33" i="21"/>
  <c r="O37" i="21"/>
  <c r="O38" i="21" s="1"/>
  <c r="X49" i="21"/>
  <c r="L178" i="21" s="1"/>
  <c r="L179" i="21" s="1"/>
  <c r="L180" i="21" s="1"/>
  <c r="L32" i="21" s="1"/>
  <c r="Q22" i="8" s="1"/>
  <c r="Q9" i="23"/>
  <c r="K9" i="22"/>
  <c r="Q7" i="8"/>
  <c r="C56" i="20"/>
  <c r="K32" i="12"/>
  <c r="M32" i="12"/>
  <c r="O32" i="12"/>
  <c r="O30" i="12"/>
  <c r="K30" i="12"/>
  <c r="M30" i="12"/>
  <c r="O34" i="18"/>
  <c r="K34" i="18"/>
  <c r="M34" i="18"/>
  <c r="M8" i="8"/>
  <c r="R25" i="17"/>
  <c r="R74" i="17"/>
  <c r="R87" i="17"/>
  <c r="M10" i="16"/>
  <c r="R7" i="17"/>
  <c r="R56" i="17"/>
  <c r="R39" i="17"/>
  <c r="AB49" i="21"/>
  <c r="P178" i="21" s="1"/>
  <c r="P179" i="21" s="1"/>
  <c r="P180" i="21" s="1"/>
  <c r="P32" i="21" s="1"/>
  <c r="S22" i="8" s="1"/>
  <c r="X36" i="19"/>
  <c r="X37" i="19" s="1"/>
  <c r="Y37" i="19" s="1"/>
  <c r="AB36" i="19"/>
  <c r="AC36" i="19" s="1"/>
  <c r="M61" i="18"/>
  <c r="Z36" i="19"/>
  <c r="K116" i="21"/>
  <c r="L52" i="21" s="1"/>
  <c r="K115" i="21"/>
  <c r="M61" i="15"/>
  <c r="Z36" i="16"/>
  <c r="AB37" i="16"/>
  <c r="AC37" i="16" s="1"/>
  <c r="AC36" i="16"/>
  <c r="O22" i="13" l="1"/>
  <c r="AA36" i="13"/>
  <c r="M61" i="12"/>
  <c r="AB36" i="13"/>
  <c r="AB37" i="13" s="1"/>
  <c r="AC37" i="13" s="1"/>
  <c r="N91" i="12"/>
  <c r="N38" i="12" s="1"/>
  <c r="F19" i="8" s="1"/>
  <c r="C39" i="14"/>
  <c r="C56" i="14"/>
  <c r="C74" i="14"/>
  <c r="C87" i="14"/>
  <c r="M39" i="13"/>
  <c r="R61" i="14" s="1"/>
  <c r="M209" i="13"/>
  <c r="M209" i="19"/>
  <c r="Q209" i="19" s="1"/>
  <c r="AA32" i="13"/>
  <c r="M60" i="13" s="1"/>
  <c r="N60" i="13" s="1"/>
  <c r="AA32" i="16"/>
  <c r="M60" i="16" s="1"/>
  <c r="N60" i="16" s="1"/>
  <c r="O27" i="15"/>
  <c r="O46" i="15" s="1"/>
  <c r="O45" i="15" s="1"/>
  <c r="O28" i="16" s="1"/>
  <c r="K27" i="15"/>
  <c r="K46" i="15" s="1"/>
  <c r="K45" i="15" s="1"/>
  <c r="K28" i="16" s="1"/>
  <c r="M31" i="18"/>
  <c r="M28" i="18" s="1"/>
  <c r="M18" i="19" s="1"/>
  <c r="M23" i="19" s="1"/>
  <c r="S7" i="8"/>
  <c r="M9" i="22"/>
  <c r="S25" i="23" s="1"/>
  <c r="M23" i="21"/>
  <c r="M20" i="21" s="1"/>
  <c r="K17" i="22" s="1"/>
  <c r="Q13" i="23" s="1"/>
  <c r="M31" i="15"/>
  <c r="M28" i="15" s="1"/>
  <c r="Y32" i="19"/>
  <c r="K60" i="19" s="1"/>
  <c r="L60" i="19" s="1"/>
  <c r="O31" i="15"/>
  <c r="O28" i="15" s="1"/>
  <c r="Y32" i="16"/>
  <c r="K60" i="16" s="1"/>
  <c r="L60" i="16" s="1"/>
  <c r="K64" i="12"/>
  <c r="K209" i="19" s="1"/>
  <c r="O64" i="12"/>
  <c r="O209" i="16" s="1"/>
  <c r="O64" i="18"/>
  <c r="O39" i="19" s="1"/>
  <c r="S29" i="20" s="1"/>
  <c r="S61" i="20" s="1"/>
  <c r="C74" i="20"/>
  <c r="C25" i="20"/>
  <c r="C39" i="20"/>
  <c r="M46" i="15"/>
  <c r="M45" i="15" s="1"/>
  <c r="M28" i="16" s="1"/>
  <c r="I28" i="8" s="1"/>
  <c r="O38" i="13"/>
  <c r="M208" i="13"/>
  <c r="M69" i="16"/>
  <c r="N69" i="16" s="1"/>
  <c r="K27" i="18"/>
  <c r="K26" i="18" s="1"/>
  <c r="K17" i="19" s="1"/>
  <c r="O27" i="18"/>
  <c r="O46" i="18" s="1"/>
  <c r="O45" i="18" s="1"/>
  <c r="O28" i="19" s="1"/>
  <c r="M46" i="12"/>
  <c r="M45" i="12" s="1"/>
  <c r="M28" i="13" s="1"/>
  <c r="E28" i="8" s="1"/>
  <c r="V9" i="8"/>
  <c r="O27" i="12"/>
  <c r="O26" i="12" s="1"/>
  <c r="O17" i="13" s="1"/>
  <c r="O31" i="18"/>
  <c r="O28" i="18" s="1"/>
  <c r="O18" i="19" s="1"/>
  <c r="Q23" i="21"/>
  <c r="Q20" i="21" s="1"/>
  <c r="M17" i="22" s="1"/>
  <c r="S13" i="23" s="1"/>
  <c r="K27" i="12"/>
  <c r="K46" i="12" s="1"/>
  <c r="K45" i="12" s="1"/>
  <c r="K28" i="13" s="1"/>
  <c r="O208" i="19"/>
  <c r="R9" i="23"/>
  <c r="M208" i="19"/>
  <c r="Q208" i="19" s="1"/>
  <c r="L9" i="22"/>
  <c r="R7" i="23" s="1"/>
  <c r="M26" i="12"/>
  <c r="M17" i="13" s="1"/>
  <c r="R12" i="14" s="1"/>
  <c r="R44" i="14" s="1"/>
  <c r="K69" i="16"/>
  <c r="L69" i="16" s="1"/>
  <c r="M208" i="16"/>
  <c r="Q208" i="16" s="1"/>
  <c r="O208" i="16"/>
  <c r="M46" i="18"/>
  <c r="M45" i="18" s="1"/>
  <c r="M28" i="19" s="1"/>
  <c r="M28" i="8" s="1"/>
  <c r="K63" i="12"/>
  <c r="K208" i="16" s="1"/>
  <c r="M38" i="13"/>
  <c r="K63" i="18"/>
  <c r="K38" i="19" s="1"/>
  <c r="K69" i="19" s="1"/>
  <c r="L69" i="19" s="1"/>
  <c r="M69" i="19"/>
  <c r="N69" i="19" s="1"/>
  <c r="O63" i="18"/>
  <c r="O38" i="19" s="1"/>
  <c r="AC32" i="19"/>
  <c r="O60" i="19" s="1"/>
  <c r="P60" i="19" s="1"/>
  <c r="M47" i="12"/>
  <c r="M48" i="12" s="1"/>
  <c r="AA32" i="19"/>
  <c r="M60" i="19" s="1"/>
  <c r="N60" i="19" s="1"/>
  <c r="K47" i="12"/>
  <c r="K48" i="12" s="1"/>
  <c r="O47" i="12"/>
  <c r="O48" i="12" s="1"/>
  <c r="AC32" i="13"/>
  <c r="O60" i="13" s="1"/>
  <c r="P60" i="13" s="1"/>
  <c r="K47" i="15"/>
  <c r="K48" i="15" s="1"/>
  <c r="M47" i="18"/>
  <c r="M48" i="18" s="1"/>
  <c r="O47" i="18"/>
  <c r="O48" i="18" s="1"/>
  <c r="K47" i="18"/>
  <c r="K48" i="18" s="1"/>
  <c r="K21" i="13"/>
  <c r="O47" i="15"/>
  <c r="O48" i="15" s="1"/>
  <c r="M19" i="8"/>
  <c r="M47" i="15"/>
  <c r="M31" i="16" s="1"/>
  <c r="N31" i="16" s="1"/>
  <c r="S10" i="20"/>
  <c r="S42" i="20" s="1"/>
  <c r="O53" i="19"/>
  <c r="O61" i="19" s="1"/>
  <c r="P61" i="19" s="1"/>
  <c r="D19" i="8"/>
  <c r="N35" i="18"/>
  <c r="O35" i="18" s="1"/>
  <c r="S31" i="23"/>
  <c r="Q10" i="14"/>
  <c r="Q42" i="14" s="1"/>
  <c r="O21" i="16"/>
  <c r="M53" i="16"/>
  <c r="N53" i="16" s="1"/>
  <c r="I19" i="8"/>
  <c r="O21" i="19"/>
  <c r="K21" i="16"/>
  <c r="K53" i="16"/>
  <c r="L53" i="16" s="1"/>
  <c r="Q10" i="17"/>
  <c r="Q42" i="17" s="1"/>
  <c r="R10" i="17"/>
  <c r="R42" i="17" s="1"/>
  <c r="Q10" i="20"/>
  <c r="Q42" i="20" s="1"/>
  <c r="M53" i="13"/>
  <c r="M61" i="13" s="1"/>
  <c r="N61" i="13" s="1"/>
  <c r="K53" i="19"/>
  <c r="K61" i="19" s="1"/>
  <c r="L61" i="19" s="1"/>
  <c r="O53" i="16"/>
  <c r="O61" i="16" s="1"/>
  <c r="P61" i="16" s="1"/>
  <c r="O21" i="13"/>
  <c r="N35" i="15"/>
  <c r="O35" i="15" s="1"/>
  <c r="K53" i="13"/>
  <c r="K61" i="13" s="1"/>
  <c r="L61" i="13" s="1"/>
  <c r="J35" i="15"/>
  <c r="K35" i="15" s="1"/>
  <c r="L35" i="15"/>
  <c r="M35" i="15" s="1"/>
  <c r="R10" i="20"/>
  <c r="R42" i="20" s="1"/>
  <c r="O53" i="13"/>
  <c r="P53" i="13" s="1"/>
  <c r="N35" i="12"/>
  <c r="O35" i="12" s="1"/>
  <c r="M53" i="19"/>
  <c r="N53" i="19" s="1"/>
  <c r="S10" i="14"/>
  <c r="S42" i="14" s="1"/>
  <c r="L39" i="22"/>
  <c r="S10" i="17"/>
  <c r="S42" i="17" s="1"/>
  <c r="K21" i="19"/>
  <c r="K62" i="18"/>
  <c r="K37" i="19" s="1"/>
  <c r="O62" i="18"/>
  <c r="O37" i="19" s="1"/>
  <c r="M37" i="19"/>
  <c r="L35" i="12"/>
  <c r="M35" i="12" s="1"/>
  <c r="K62" i="15"/>
  <c r="K37" i="16" s="1"/>
  <c r="Q28" i="17" s="1"/>
  <c r="Q31" i="17" s="1"/>
  <c r="O62" i="15"/>
  <c r="O37" i="16" s="1"/>
  <c r="M37" i="16"/>
  <c r="L35" i="18"/>
  <c r="M35" i="18" s="1"/>
  <c r="M207" i="13"/>
  <c r="M37" i="13"/>
  <c r="K62" i="12"/>
  <c r="M207" i="19"/>
  <c r="Q207" i="19" s="1"/>
  <c r="O62" i="12"/>
  <c r="M207" i="16"/>
  <c r="Q207" i="16" s="1"/>
  <c r="R10" i="14"/>
  <c r="R42" i="14" s="1"/>
  <c r="L19" i="8"/>
  <c r="M21" i="13"/>
  <c r="V10" i="8"/>
  <c r="Q15" i="21"/>
  <c r="Q14" i="21" s="1"/>
  <c r="M12" i="22" s="1"/>
  <c r="O14" i="21"/>
  <c r="L12" i="22" s="1"/>
  <c r="M15" i="21"/>
  <c r="M14" i="21" s="1"/>
  <c r="K12" i="22" s="1"/>
  <c r="R28" i="23"/>
  <c r="R31" i="23" s="1"/>
  <c r="Y34" i="22"/>
  <c r="Y35" i="22" s="1"/>
  <c r="N173" i="21"/>
  <c r="V23" i="8"/>
  <c r="P173" i="21"/>
  <c r="Y36" i="13"/>
  <c r="O8" i="16"/>
  <c r="S87" i="17" s="1"/>
  <c r="L177" i="21"/>
  <c r="M16" i="21" s="1"/>
  <c r="G33" i="21" s="1"/>
  <c r="M38" i="21"/>
  <c r="AC36" i="13"/>
  <c r="Q38" i="21"/>
  <c r="N13" i="15"/>
  <c r="O20" i="21"/>
  <c r="L17" i="22" s="1"/>
  <c r="R16" i="8" s="1"/>
  <c r="L27" i="22"/>
  <c r="R17" i="23" s="1"/>
  <c r="K12" i="15"/>
  <c r="K8" i="16"/>
  <c r="V8" i="8"/>
  <c r="BC48" i="21"/>
  <c r="M39" i="22"/>
  <c r="BA48" i="21"/>
  <c r="O12" i="18"/>
  <c r="O8" i="19"/>
  <c r="K28" i="18"/>
  <c r="K18" i="19" s="1"/>
  <c r="O12" i="12"/>
  <c r="O8" i="13"/>
  <c r="M28" i="12"/>
  <c r="M18" i="13" s="1"/>
  <c r="Q158" i="21"/>
  <c r="AY48" i="21"/>
  <c r="K8" i="19"/>
  <c r="K12" i="18"/>
  <c r="K8" i="13"/>
  <c r="K12" i="12"/>
  <c r="K28" i="12"/>
  <c r="K18" i="13" s="1"/>
  <c r="BE48" i="21"/>
  <c r="M158" i="21"/>
  <c r="J13" i="18"/>
  <c r="N13" i="18"/>
  <c r="K28" i="15"/>
  <c r="O28" i="12"/>
  <c r="O18" i="13" s="1"/>
  <c r="Q59" i="23"/>
  <c r="Q7" i="23"/>
  <c r="Q25" i="23"/>
  <c r="Q44" i="23"/>
  <c r="BH48" i="21"/>
  <c r="R12" i="20"/>
  <c r="R44" i="20" s="1"/>
  <c r="M15" i="8"/>
  <c r="I15" i="8"/>
  <c r="M17" i="16"/>
  <c r="R12" i="17" s="1"/>
  <c r="R44" i="17" s="1"/>
  <c r="R39" i="20"/>
  <c r="R87" i="20"/>
  <c r="R56" i="20"/>
  <c r="M10" i="19"/>
  <c r="R7" i="20"/>
  <c r="R74" i="20"/>
  <c r="R25" i="20"/>
  <c r="N13" i="12"/>
  <c r="J13" i="12"/>
  <c r="R7" i="14"/>
  <c r="M10" i="13"/>
  <c r="R39" i="14"/>
  <c r="R25" i="14"/>
  <c r="R74" i="14"/>
  <c r="R56" i="14"/>
  <c r="R87" i="14"/>
  <c r="V22" i="8"/>
  <c r="M14" i="16"/>
  <c r="N10" i="16"/>
  <c r="R9" i="17"/>
  <c r="I7" i="8"/>
  <c r="Y36" i="19"/>
  <c r="AB37" i="19"/>
  <c r="AC37" i="19" s="1"/>
  <c r="AA36" i="19"/>
  <c r="Z37" i="19"/>
  <c r="AA37" i="19" s="1"/>
  <c r="Q30" i="8"/>
  <c r="Q17" i="23"/>
  <c r="S30" i="8"/>
  <c r="S17" i="23"/>
  <c r="P17" i="21"/>
  <c r="P33" i="21"/>
  <c r="V32" i="22"/>
  <c r="K32" i="22"/>
  <c r="Q37" i="8" s="1"/>
  <c r="M50" i="21"/>
  <c r="K34" i="22" s="1"/>
  <c r="N33" i="21"/>
  <c r="N17" i="21"/>
  <c r="AA36" i="16"/>
  <c r="Z37" i="16"/>
  <c r="AA37" i="16" s="1"/>
  <c r="K209" i="16" l="1"/>
  <c r="O209" i="19"/>
  <c r="O26" i="15"/>
  <c r="J15" i="8" s="1"/>
  <c r="O39" i="13"/>
  <c r="S61" i="14" s="1"/>
  <c r="O209" i="13"/>
  <c r="K39" i="13"/>
  <c r="Q61" i="14" s="1"/>
  <c r="R29" i="14"/>
  <c r="M69" i="13"/>
  <c r="N69" i="13" s="1"/>
  <c r="K209" i="13"/>
  <c r="K26" i="15"/>
  <c r="H15" i="8" s="1"/>
  <c r="S59" i="23"/>
  <c r="S44" i="23"/>
  <c r="S7" i="23"/>
  <c r="O26" i="18"/>
  <c r="O17" i="19" s="1"/>
  <c r="O23" i="19" s="1"/>
  <c r="K46" i="18"/>
  <c r="K45" i="18" s="1"/>
  <c r="K28" i="19" s="1"/>
  <c r="L28" i="8" s="1"/>
  <c r="O69" i="19"/>
  <c r="P69" i="19" s="1"/>
  <c r="R46" i="17"/>
  <c r="R14" i="17"/>
  <c r="S28" i="20"/>
  <c r="S31" i="20" s="1"/>
  <c r="K26" i="12"/>
  <c r="K17" i="13" s="1"/>
  <c r="D15" i="8" s="1"/>
  <c r="R46" i="14"/>
  <c r="R46" i="20"/>
  <c r="O46" i="12"/>
  <c r="O45" i="12" s="1"/>
  <c r="O28" i="13" s="1"/>
  <c r="S46" i="14" s="1"/>
  <c r="R44" i="23"/>
  <c r="R25" i="23"/>
  <c r="R14" i="20"/>
  <c r="R59" i="23"/>
  <c r="K38" i="13"/>
  <c r="E15" i="8"/>
  <c r="K208" i="13"/>
  <c r="K208" i="19"/>
  <c r="R28" i="14"/>
  <c r="R60" i="14" s="1"/>
  <c r="R63" i="14" s="1"/>
  <c r="Q28" i="20"/>
  <c r="Q60" i="20" s="1"/>
  <c r="Q63" i="20" s="1"/>
  <c r="M31" i="13"/>
  <c r="E30" i="8" s="1"/>
  <c r="M31" i="19"/>
  <c r="M206" i="19" s="1"/>
  <c r="M212" i="19" s="1"/>
  <c r="K31" i="13"/>
  <c r="Q17" i="14" s="1"/>
  <c r="Q49" i="14" s="1"/>
  <c r="O31" i="13"/>
  <c r="F30" i="8" s="1"/>
  <c r="O31" i="19"/>
  <c r="P31" i="19" s="1"/>
  <c r="K31" i="16"/>
  <c r="H30" i="8" s="1"/>
  <c r="K31" i="19"/>
  <c r="Q17" i="20" s="1"/>
  <c r="Q49" i="20" s="1"/>
  <c r="O31" i="16"/>
  <c r="O206" i="16" s="1"/>
  <c r="R17" i="17"/>
  <c r="R49" i="17" s="1"/>
  <c r="I30" i="8"/>
  <c r="M206" i="16"/>
  <c r="M212" i="16" s="1"/>
  <c r="M203" i="16"/>
  <c r="Q203" i="16" s="1"/>
  <c r="M48" i="15"/>
  <c r="L33" i="21"/>
  <c r="K20" i="22" s="1"/>
  <c r="M61" i="16"/>
  <c r="N61" i="16" s="1"/>
  <c r="Q46" i="17"/>
  <c r="P53" i="19"/>
  <c r="L53" i="13"/>
  <c r="K41" i="19"/>
  <c r="L41" i="19" s="1"/>
  <c r="S46" i="17"/>
  <c r="K61" i="16"/>
  <c r="L61" i="16" s="1"/>
  <c r="L17" i="21"/>
  <c r="R14" i="14"/>
  <c r="N53" i="13"/>
  <c r="L53" i="19"/>
  <c r="V19" i="8"/>
  <c r="O41" i="19"/>
  <c r="P41" i="19" s="1"/>
  <c r="P53" i="16"/>
  <c r="M61" i="19"/>
  <c r="N61" i="19" s="1"/>
  <c r="O61" i="13"/>
  <c r="P61" i="13" s="1"/>
  <c r="M41" i="13"/>
  <c r="N41" i="13" s="1"/>
  <c r="S10" i="23"/>
  <c r="S11" i="23" s="1"/>
  <c r="M50" i="22"/>
  <c r="M59" i="22"/>
  <c r="S10" i="8"/>
  <c r="M13" i="22"/>
  <c r="S12" i="8" s="1"/>
  <c r="K207" i="16"/>
  <c r="K37" i="13"/>
  <c r="K207" i="13"/>
  <c r="K207" i="19"/>
  <c r="K41" i="16"/>
  <c r="L41" i="16" s="1"/>
  <c r="M41" i="19"/>
  <c r="N41" i="19" s="1"/>
  <c r="R28" i="20"/>
  <c r="Q60" i="17"/>
  <c r="Q63" i="17" s="1"/>
  <c r="Q10" i="23"/>
  <c r="Q11" i="23" s="1"/>
  <c r="K59" i="22"/>
  <c r="K13" i="22"/>
  <c r="Q12" i="8" s="1"/>
  <c r="Q10" i="8"/>
  <c r="K50" i="22"/>
  <c r="O207" i="13"/>
  <c r="O207" i="19"/>
  <c r="O207" i="16"/>
  <c r="O37" i="13"/>
  <c r="M41" i="16"/>
  <c r="N41" i="16" s="1"/>
  <c r="R28" i="17"/>
  <c r="L59" i="22"/>
  <c r="L50" i="22"/>
  <c r="R10" i="23"/>
  <c r="R11" i="23" s="1"/>
  <c r="L13" i="22"/>
  <c r="R12" i="8" s="1"/>
  <c r="R10" i="8"/>
  <c r="S28" i="17"/>
  <c r="O41" i="16"/>
  <c r="P41" i="16" s="1"/>
  <c r="Q16" i="8"/>
  <c r="O10" i="16"/>
  <c r="J7" i="8" s="1"/>
  <c r="S39" i="17"/>
  <c r="S74" i="17"/>
  <c r="S7" i="17"/>
  <c r="S25" i="17"/>
  <c r="S56" i="17"/>
  <c r="S16" i="8"/>
  <c r="R30" i="8"/>
  <c r="R13" i="23"/>
  <c r="M16" i="8"/>
  <c r="R13" i="20"/>
  <c r="R45" i="20" s="1"/>
  <c r="K10" i="16"/>
  <c r="Q39" i="17"/>
  <c r="Q25" i="17"/>
  <c r="Q56" i="17"/>
  <c r="Q74" i="17"/>
  <c r="Q87" i="17"/>
  <c r="Q7" i="17"/>
  <c r="H16" i="8"/>
  <c r="K18" i="16"/>
  <c r="Q13" i="17" s="1"/>
  <c r="Q45" i="17" s="1"/>
  <c r="O23" i="13"/>
  <c r="F15" i="8"/>
  <c r="S12" i="14"/>
  <c r="S44" i="14" s="1"/>
  <c r="Q19" i="21"/>
  <c r="M16" i="22" s="1"/>
  <c r="M19" i="21"/>
  <c r="K16" i="22" s="1"/>
  <c r="O19" i="21"/>
  <c r="L16" i="22" s="1"/>
  <c r="Q13" i="20"/>
  <c r="Q45" i="20" s="1"/>
  <c r="L16" i="8"/>
  <c r="M7" i="8"/>
  <c r="R9" i="20"/>
  <c r="M14" i="19"/>
  <c r="N10" i="19"/>
  <c r="N16" i="8"/>
  <c r="S13" i="20"/>
  <c r="S45" i="20" s="1"/>
  <c r="D16" i="8"/>
  <c r="Q13" i="14"/>
  <c r="Q45" i="14" s="1"/>
  <c r="Q39" i="14"/>
  <c r="Q25" i="14"/>
  <c r="Q87" i="14"/>
  <c r="Q56" i="14"/>
  <c r="Q74" i="14"/>
  <c r="Q7" i="14"/>
  <c r="K10" i="13"/>
  <c r="S7" i="14"/>
  <c r="S25" i="14"/>
  <c r="S56" i="14"/>
  <c r="S87" i="14"/>
  <c r="S74" i="14"/>
  <c r="S39" i="14"/>
  <c r="O10" i="13"/>
  <c r="S7" i="20"/>
  <c r="S25" i="20"/>
  <c r="O10" i="19"/>
  <c r="S39" i="20"/>
  <c r="S87" i="20"/>
  <c r="S56" i="20"/>
  <c r="S74" i="20"/>
  <c r="Q12" i="20"/>
  <c r="K23" i="19"/>
  <c r="L15" i="8"/>
  <c r="H28" i="8"/>
  <c r="Q14" i="17"/>
  <c r="O18" i="16"/>
  <c r="S13" i="17" s="1"/>
  <c r="S45" i="17" s="1"/>
  <c r="J16" i="8"/>
  <c r="Q87" i="20"/>
  <c r="Q56" i="20"/>
  <c r="Q39" i="20"/>
  <c r="K10" i="19"/>
  <c r="Q7" i="20"/>
  <c r="Q25" i="20"/>
  <c r="Q74" i="20"/>
  <c r="N28" i="8"/>
  <c r="S46" i="20"/>
  <c r="S14" i="20"/>
  <c r="M14" i="13"/>
  <c r="E7" i="8"/>
  <c r="N10" i="13"/>
  <c r="R9" i="14"/>
  <c r="M25" i="8"/>
  <c r="N23" i="19"/>
  <c r="M59" i="19"/>
  <c r="F16" i="8"/>
  <c r="S13" i="14"/>
  <c r="S45" i="14" s="1"/>
  <c r="D28" i="8"/>
  <c r="Q14" i="14"/>
  <c r="J28" i="8"/>
  <c r="S14" i="17"/>
  <c r="E16" i="8"/>
  <c r="R13" i="14"/>
  <c r="R45" i="14" s="1"/>
  <c r="M23" i="13"/>
  <c r="I16" i="8"/>
  <c r="M18" i="16"/>
  <c r="Q46" i="14"/>
  <c r="R11" i="17"/>
  <c r="R41" i="17"/>
  <c r="R43" i="17" s="1"/>
  <c r="N14" i="16"/>
  <c r="I13" i="8" s="1"/>
  <c r="I12" i="8"/>
  <c r="R23" i="8"/>
  <c r="N25" i="21"/>
  <c r="O25" i="21" s="1"/>
  <c r="O36" i="21" s="1"/>
  <c r="O35" i="21" s="1"/>
  <c r="L25" i="22" s="1"/>
  <c r="L20" i="22"/>
  <c r="Q27" i="23"/>
  <c r="Q31" i="23" s="1"/>
  <c r="K39" i="22"/>
  <c r="W32" i="22"/>
  <c r="W35" i="22" s="1"/>
  <c r="V35" i="22"/>
  <c r="P25" i="21"/>
  <c r="Q25" i="21" s="1"/>
  <c r="Q36" i="21" s="1"/>
  <c r="Q35" i="21" s="1"/>
  <c r="M25" i="22" s="1"/>
  <c r="M20" i="22"/>
  <c r="S23" i="8"/>
  <c r="O17" i="16" l="1"/>
  <c r="O67" i="16" s="1"/>
  <c r="S60" i="20"/>
  <c r="S63" i="20" s="1"/>
  <c r="Q29" i="14"/>
  <c r="K69" i="13"/>
  <c r="L69" i="13" s="1"/>
  <c r="O69" i="13"/>
  <c r="P69" i="13" s="1"/>
  <c r="S29" i="14"/>
  <c r="K17" i="16"/>
  <c r="Q12" i="17" s="1"/>
  <c r="Q46" i="20"/>
  <c r="F28" i="8"/>
  <c r="V28" i="8" s="1"/>
  <c r="Q14" i="20"/>
  <c r="Q15" i="20" s="1"/>
  <c r="Q47" i="20" s="1"/>
  <c r="K23" i="13"/>
  <c r="K59" i="13" s="1"/>
  <c r="K63" i="13" s="1"/>
  <c r="S14" i="14"/>
  <c r="S15" i="14" s="1"/>
  <c r="S47" i="14" s="1"/>
  <c r="Q12" i="14"/>
  <c r="Q44" i="14" s="1"/>
  <c r="N15" i="8"/>
  <c r="V15" i="8" s="1"/>
  <c r="S12" i="20"/>
  <c r="S44" i="20" s="1"/>
  <c r="Q31" i="20"/>
  <c r="M203" i="13"/>
  <c r="R203" i="13" s="1"/>
  <c r="M67" i="13"/>
  <c r="M68" i="13" s="1"/>
  <c r="N68" i="13" s="1"/>
  <c r="R17" i="14"/>
  <c r="R49" i="14" s="1"/>
  <c r="N31" i="13"/>
  <c r="M206" i="13"/>
  <c r="R206" i="13" s="1"/>
  <c r="R17" i="20"/>
  <c r="R49" i="20" s="1"/>
  <c r="N31" i="19"/>
  <c r="M203" i="19"/>
  <c r="M204" i="19" s="1"/>
  <c r="M214" i="19" s="1"/>
  <c r="Q214" i="19" s="1"/>
  <c r="L31" i="19"/>
  <c r="M67" i="19"/>
  <c r="N67" i="19" s="1"/>
  <c r="M30" i="8"/>
  <c r="O67" i="13"/>
  <c r="P67" i="13" s="1"/>
  <c r="O203" i="13"/>
  <c r="P31" i="13"/>
  <c r="Q17" i="17"/>
  <c r="Q49" i="17" s="1"/>
  <c r="S17" i="14"/>
  <c r="S49" i="14" s="1"/>
  <c r="O67" i="19"/>
  <c r="P67" i="19" s="1"/>
  <c r="O206" i="13"/>
  <c r="O212" i="13" s="1"/>
  <c r="O213" i="13" s="1"/>
  <c r="K67" i="13"/>
  <c r="L67" i="13" s="1"/>
  <c r="L31" i="13"/>
  <c r="K203" i="13"/>
  <c r="D30" i="8"/>
  <c r="K206" i="13"/>
  <c r="K212" i="13" s="1"/>
  <c r="K213" i="13" s="1"/>
  <c r="L31" i="16"/>
  <c r="K206" i="16"/>
  <c r="K203" i="16"/>
  <c r="K204" i="16" s="1"/>
  <c r="K205" i="16" s="1"/>
  <c r="O203" i="19"/>
  <c r="O204" i="19" s="1"/>
  <c r="O205" i="19" s="1"/>
  <c r="N30" i="8"/>
  <c r="O206" i="19"/>
  <c r="O212" i="19" s="1"/>
  <c r="S17" i="20"/>
  <c r="S49" i="20" s="1"/>
  <c r="L30" i="8"/>
  <c r="K206" i="19"/>
  <c r="K212" i="19" s="1"/>
  <c r="K213" i="19" s="1"/>
  <c r="K203" i="19"/>
  <c r="K204" i="19" s="1"/>
  <c r="K205" i="19" s="1"/>
  <c r="J30" i="8"/>
  <c r="K67" i="19"/>
  <c r="L67" i="19" s="1"/>
  <c r="S9" i="17"/>
  <c r="S41" i="17" s="1"/>
  <c r="S43" i="17" s="1"/>
  <c r="S17" i="17"/>
  <c r="S49" i="17" s="1"/>
  <c r="O212" i="16"/>
  <c r="O213" i="16" s="1"/>
  <c r="O203" i="16"/>
  <c r="O204" i="16" s="1"/>
  <c r="O205" i="16" s="1"/>
  <c r="P31" i="16"/>
  <c r="L25" i="21"/>
  <c r="M25" i="21" s="1"/>
  <c r="M36" i="21" s="1"/>
  <c r="M35" i="21" s="1"/>
  <c r="K25" i="22" s="1"/>
  <c r="K64" i="22" s="1"/>
  <c r="K65" i="22" s="1"/>
  <c r="Q23" i="8"/>
  <c r="Q206" i="16"/>
  <c r="M204" i="16"/>
  <c r="M229" i="16" s="1"/>
  <c r="M232" i="16" s="1"/>
  <c r="M234" i="16" s="1"/>
  <c r="O14" i="16"/>
  <c r="J12" i="8" s="1"/>
  <c r="M52" i="19"/>
  <c r="R92" i="20" s="1"/>
  <c r="R31" i="14"/>
  <c r="S60" i="17"/>
  <c r="S63" i="17" s="1"/>
  <c r="S31" i="17"/>
  <c r="O41" i="13"/>
  <c r="O52" i="13" s="1"/>
  <c r="O56" i="13" s="1"/>
  <c r="P56" i="13" s="1"/>
  <c r="S68" i="14" s="1"/>
  <c r="S28" i="14"/>
  <c r="S60" i="14" s="1"/>
  <c r="S63" i="14" s="1"/>
  <c r="Q28" i="14"/>
  <c r="Q60" i="14" s="1"/>
  <c r="Q63" i="14" s="1"/>
  <c r="K41" i="13"/>
  <c r="R31" i="20"/>
  <c r="R60" i="20"/>
  <c r="R63" i="20" s="1"/>
  <c r="R31" i="17"/>
  <c r="R60" i="17"/>
  <c r="R63" i="17" s="1"/>
  <c r="P10" i="16"/>
  <c r="Q212" i="16"/>
  <c r="M213" i="16"/>
  <c r="Q213" i="16" s="1"/>
  <c r="R15" i="20"/>
  <c r="R47" i="20" s="1"/>
  <c r="Q9" i="17"/>
  <c r="L10" i="16"/>
  <c r="H7" i="8"/>
  <c r="K14" i="16"/>
  <c r="Q206" i="19"/>
  <c r="M26" i="13"/>
  <c r="M59" i="13"/>
  <c r="N23" i="13"/>
  <c r="E25" i="8"/>
  <c r="M52" i="13"/>
  <c r="R41" i="14"/>
  <c r="R43" i="14" s="1"/>
  <c r="R11" i="14"/>
  <c r="Q9" i="20"/>
  <c r="K14" i="19"/>
  <c r="L10" i="19"/>
  <c r="L7" i="8"/>
  <c r="Q9" i="14"/>
  <c r="D7" i="8"/>
  <c r="L10" i="13"/>
  <c r="K14" i="13"/>
  <c r="V16" i="8"/>
  <c r="Q12" i="23"/>
  <c r="Q15" i="8"/>
  <c r="M63" i="19"/>
  <c r="N63" i="19" s="1"/>
  <c r="N59" i="19"/>
  <c r="M62" i="19"/>
  <c r="N62" i="19" s="1"/>
  <c r="L23" i="19"/>
  <c r="L25" i="8"/>
  <c r="K59" i="19"/>
  <c r="S15" i="8"/>
  <c r="S12" i="23"/>
  <c r="P23" i="13"/>
  <c r="O59" i="13"/>
  <c r="F25" i="8"/>
  <c r="K52" i="19"/>
  <c r="R13" i="17"/>
  <c r="M23" i="16"/>
  <c r="M67" i="16"/>
  <c r="Q44" i="20"/>
  <c r="S9" i="14"/>
  <c r="P10" i="13"/>
  <c r="F7" i="8"/>
  <c r="O14" i="13"/>
  <c r="M26" i="19"/>
  <c r="M12" i="8"/>
  <c r="N14" i="19"/>
  <c r="M13" i="8" s="1"/>
  <c r="M64" i="19"/>
  <c r="M65" i="19" s="1"/>
  <c r="R15" i="14"/>
  <c r="R47" i="14" s="1"/>
  <c r="R210" i="13"/>
  <c r="E12" i="8"/>
  <c r="R211" i="13"/>
  <c r="R207" i="13"/>
  <c r="R209" i="13"/>
  <c r="R208" i="13"/>
  <c r="N14" i="13"/>
  <c r="E13" i="8" s="1"/>
  <c r="N7" i="8"/>
  <c r="S9" i="20"/>
  <c r="O14" i="19"/>
  <c r="P10" i="19"/>
  <c r="N25" i="8"/>
  <c r="O52" i="19"/>
  <c r="O59" i="19"/>
  <c r="P23" i="19"/>
  <c r="R11" i="20"/>
  <c r="R41" i="20"/>
  <c r="R43" i="20" s="1"/>
  <c r="R12" i="23"/>
  <c r="R15" i="8"/>
  <c r="S12" i="17"/>
  <c r="O23" i="16"/>
  <c r="Q212" i="19"/>
  <c r="M213" i="19"/>
  <c r="Q213" i="19" s="1"/>
  <c r="M64" i="22"/>
  <c r="M65" i="22" s="1"/>
  <c r="S28" i="8"/>
  <c r="K22" i="22"/>
  <c r="R28" i="8"/>
  <c r="L64" i="22"/>
  <c r="L65" i="22" s="1"/>
  <c r="S14" i="23"/>
  <c r="M22" i="22"/>
  <c r="R14" i="23"/>
  <c r="L22" i="22"/>
  <c r="K67" i="16" l="1"/>
  <c r="L67" i="16" s="1"/>
  <c r="K23" i="16"/>
  <c r="H25" i="8" s="1"/>
  <c r="D25" i="8"/>
  <c r="L23" i="13"/>
  <c r="Q15" i="14"/>
  <c r="Q47" i="14" s="1"/>
  <c r="S15" i="20"/>
  <c r="S47" i="20" s="1"/>
  <c r="M212" i="13"/>
  <c r="M213" i="13" s="1"/>
  <c r="N67" i="13"/>
  <c r="R93" i="20"/>
  <c r="M56" i="19"/>
  <c r="N56" i="19" s="1"/>
  <c r="R68" i="20" s="1"/>
  <c r="M205" i="19"/>
  <c r="Q203" i="19"/>
  <c r="Q204" i="19"/>
  <c r="M220" i="19"/>
  <c r="Q220" i="19" s="1"/>
  <c r="M229" i="19"/>
  <c r="Q229" i="19" s="1"/>
  <c r="M68" i="19"/>
  <c r="N68" i="19" s="1"/>
  <c r="O68" i="13"/>
  <c r="P68" i="13" s="1"/>
  <c r="K68" i="13"/>
  <c r="L68" i="13" s="1"/>
  <c r="K229" i="16"/>
  <c r="K232" i="16" s="1"/>
  <c r="K234" i="16" s="1"/>
  <c r="K212" i="16"/>
  <c r="K214" i="16" s="1"/>
  <c r="O220" i="19"/>
  <c r="O229" i="19"/>
  <c r="O232" i="19" s="1"/>
  <c r="O234" i="19" s="1"/>
  <c r="K229" i="19"/>
  <c r="K232" i="19" s="1"/>
  <c r="K234" i="19" s="1"/>
  <c r="K68" i="19"/>
  <c r="L68" i="19" s="1"/>
  <c r="V30" i="8"/>
  <c r="O229" i="16"/>
  <c r="O232" i="16" s="1"/>
  <c r="O234" i="16" s="1"/>
  <c r="O220" i="16"/>
  <c r="S11" i="17"/>
  <c r="O214" i="16"/>
  <c r="K220" i="19"/>
  <c r="K214" i="19"/>
  <c r="Q28" i="8"/>
  <c r="Q14" i="23"/>
  <c r="Q15" i="23" s="1"/>
  <c r="Q16" i="23" s="1"/>
  <c r="Q18" i="23" s="1"/>
  <c r="Q26" i="23" s="1"/>
  <c r="Q32" i="23" s="1"/>
  <c r="M214" i="16"/>
  <c r="Q214" i="16" s="1"/>
  <c r="Q204" i="16"/>
  <c r="Q229" i="16"/>
  <c r="M205" i="16"/>
  <c r="M220" i="16"/>
  <c r="Q220" i="16" s="1"/>
  <c r="N52" i="19"/>
  <c r="M55" i="19"/>
  <c r="N55" i="19" s="1"/>
  <c r="R80" i="20" s="1"/>
  <c r="P14" i="16"/>
  <c r="J13" i="8" s="1"/>
  <c r="O213" i="19"/>
  <c r="O214" i="19"/>
  <c r="S93" i="14"/>
  <c r="S92" i="14"/>
  <c r="O55" i="13"/>
  <c r="P55" i="13" s="1"/>
  <c r="S67" i="14" s="1"/>
  <c r="P52" i="13"/>
  <c r="S31" i="14"/>
  <c r="P41" i="13"/>
  <c r="L41" i="13"/>
  <c r="Q31" i="14"/>
  <c r="K52" i="13"/>
  <c r="M233" i="16"/>
  <c r="R15" i="23"/>
  <c r="R16" i="23" s="1"/>
  <c r="R18" i="23" s="1"/>
  <c r="R26" i="23" s="1"/>
  <c r="R32" i="23" s="1"/>
  <c r="R48" i="20"/>
  <c r="R50" i="20" s="1"/>
  <c r="R16" i="20"/>
  <c r="R18" i="20" s="1"/>
  <c r="R26" i="20" s="1"/>
  <c r="R58" i="20" s="1"/>
  <c r="Q41" i="17"/>
  <c r="Q43" i="17" s="1"/>
  <c r="Q11" i="17"/>
  <c r="S15" i="23"/>
  <c r="S16" i="23" s="1"/>
  <c r="S18" i="23" s="1"/>
  <c r="S26" i="23" s="1"/>
  <c r="S32" i="23" s="1"/>
  <c r="H12" i="8"/>
  <c r="L14" i="16"/>
  <c r="H13" i="8" s="1"/>
  <c r="F35" i="8"/>
  <c r="S81" i="14"/>
  <c r="R16" i="14"/>
  <c r="R18" i="14" s="1"/>
  <c r="R26" i="14" s="1"/>
  <c r="R58" i="14" s="1"/>
  <c r="K62" i="13"/>
  <c r="L62" i="13" s="1"/>
  <c r="L63" i="13"/>
  <c r="L59" i="13"/>
  <c r="N26" i="19"/>
  <c r="M26" i="8"/>
  <c r="M29" i="19"/>
  <c r="Q92" i="20"/>
  <c r="L52" i="19"/>
  <c r="Q93" i="20"/>
  <c r="K55" i="19"/>
  <c r="L55" i="19" s="1"/>
  <c r="K56" i="19"/>
  <c r="L56" i="19" s="1"/>
  <c r="L14" i="13"/>
  <c r="D13" i="8" s="1"/>
  <c r="K26" i="13"/>
  <c r="D12" i="8"/>
  <c r="K64" i="13"/>
  <c r="K65" i="13" s="1"/>
  <c r="O68" i="16"/>
  <c r="P68" i="16" s="1"/>
  <c r="P67" i="16"/>
  <c r="P59" i="19"/>
  <c r="O62" i="19"/>
  <c r="P62" i="19" s="1"/>
  <c r="O63" i="19"/>
  <c r="P63" i="19" s="1"/>
  <c r="O26" i="19"/>
  <c r="O68" i="19"/>
  <c r="P68" i="19" s="1"/>
  <c r="N12" i="8"/>
  <c r="P14" i="19"/>
  <c r="N13" i="8" s="1"/>
  <c r="O64" i="19"/>
  <c r="O65" i="19" s="1"/>
  <c r="N67" i="16"/>
  <c r="M68" i="16"/>
  <c r="N68" i="16" s="1"/>
  <c r="R48" i="14"/>
  <c r="R50" i="14" s="1"/>
  <c r="M62" i="13"/>
  <c r="N62" i="13" s="1"/>
  <c r="N59" i="13"/>
  <c r="M63" i="13"/>
  <c r="N63" i="13" s="1"/>
  <c r="M64" i="13"/>
  <c r="M65" i="13" s="1"/>
  <c r="O52" i="16"/>
  <c r="O26" i="16"/>
  <c r="O59" i="16"/>
  <c r="P23" i="16"/>
  <c r="J25" i="8"/>
  <c r="S93" i="20"/>
  <c r="O55" i="19"/>
  <c r="P55" i="19" s="1"/>
  <c r="P52" i="19"/>
  <c r="O56" i="19"/>
  <c r="P56" i="19" s="1"/>
  <c r="S92" i="20"/>
  <c r="S41" i="20"/>
  <c r="S43" i="20" s="1"/>
  <c r="S11" i="20"/>
  <c r="S41" i="14"/>
  <c r="S43" i="14" s="1"/>
  <c r="S48" i="14" s="1"/>
  <c r="S50" i="14" s="1"/>
  <c r="S11" i="14"/>
  <c r="S16" i="14" s="1"/>
  <c r="S18" i="14" s="1"/>
  <c r="S26" i="14" s="1"/>
  <c r="S58" i="14" s="1"/>
  <c r="M59" i="16"/>
  <c r="N23" i="16"/>
  <c r="I25" i="8"/>
  <c r="M26" i="16"/>
  <c r="M52" i="16"/>
  <c r="O62" i="13"/>
  <c r="P62" i="13" s="1"/>
  <c r="P59" i="13"/>
  <c r="O63" i="13"/>
  <c r="P63" i="13" s="1"/>
  <c r="Q44" i="17"/>
  <c r="Q15" i="17"/>
  <c r="V7" i="8"/>
  <c r="K26" i="19"/>
  <c r="L12" i="8"/>
  <c r="L14" i="19"/>
  <c r="L13" i="8" s="1"/>
  <c r="K64" i="19"/>
  <c r="K65" i="19" s="1"/>
  <c r="R93" i="14"/>
  <c r="R92" i="14"/>
  <c r="M55" i="13"/>
  <c r="N55" i="13" s="1"/>
  <c r="M56" i="13"/>
  <c r="N56" i="13" s="1"/>
  <c r="N52" i="13"/>
  <c r="M201" i="13"/>
  <c r="E26" i="8"/>
  <c r="N26" i="13"/>
  <c r="M29" i="13"/>
  <c r="S44" i="17"/>
  <c r="S15" i="17"/>
  <c r="O26" i="13"/>
  <c r="F12" i="8"/>
  <c r="P14" i="13"/>
  <c r="F13" i="8" s="1"/>
  <c r="O64" i="13"/>
  <c r="O65" i="13" s="1"/>
  <c r="R45" i="17"/>
  <c r="R15" i="17"/>
  <c r="L59" i="19"/>
  <c r="K62" i="19"/>
  <c r="L62" i="19" s="1"/>
  <c r="K63" i="19"/>
  <c r="L63" i="19" s="1"/>
  <c r="Q41" i="14"/>
  <c r="Q43" i="14" s="1"/>
  <c r="Q11" i="14"/>
  <c r="Q11" i="20"/>
  <c r="Q16" i="20" s="1"/>
  <c r="Q18" i="20" s="1"/>
  <c r="Q26" i="20" s="1"/>
  <c r="Q58" i="20" s="1"/>
  <c r="Q41" i="20"/>
  <c r="Q43" i="20" s="1"/>
  <c r="Q48" i="20" s="1"/>
  <c r="Q50" i="20" s="1"/>
  <c r="L24" i="22"/>
  <c r="R25" i="8"/>
  <c r="L57" i="22"/>
  <c r="L49" i="22"/>
  <c r="M24" i="22"/>
  <c r="S25" i="8"/>
  <c r="M57" i="22"/>
  <c r="M49" i="22"/>
  <c r="Q25" i="8"/>
  <c r="K57" i="22"/>
  <c r="K24" i="22"/>
  <c r="K49" i="22"/>
  <c r="K59" i="16" l="1"/>
  <c r="K62" i="16" s="1"/>
  <c r="L62" i="16" s="1"/>
  <c r="L23" i="16"/>
  <c r="K26" i="16"/>
  <c r="H26" i="8" s="1"/>
  <c r="K52" i="16"/>
  <c r="L52" i="16" s="1"/>
  <c r="K68" i="16"/>
  <c r="L68" i="16" s="1"/>
  <c r="Q16" i="14"/>
  <c r="Q18" i="14" s="1"/>
  <c r="Q26" i="14" s="1"/>
  <c r="Q58" i="14" s="1"/>
  <c r="Q48" i="14"/>
  <c r="Q50" i="14" s="1"/>
  <c r="S16" i="20"/>
  <c r="S18" i="20" s="1"/>
  <c r="S26" i="20" s="1"/>
  <c r="S58" i="20" s="1"/>
  <c r="S48" i="20"/>
  <c r="S50" i="20" s="1"/>
  <c r="M35" i="8"/>
  <c r="R212" i="13"/>
  <c r="M232" i="19"/>
  <c r="M234" i="19" s="1"/>
  <c r="R81" i="20"/>
  <c r="K220" i="16"/>
  <c r="K213" i="16"/>
  <c r="K233" i="16"/>
  <c r="K233" i="19"/>
  <c r="O233" i="19"/>
  <c r="O233" i="16"/>
  <c r="S80" i="14"/>
  <c r="M34" i="8"/>
  <c r="R67" i="20"/>
  <c r="F34" i="8"/>
  <c r="Q93" i="14"/>
  <c r="K55" i="13"/>
  <c r="L55" i="13" s="1"/>
  <c r="Q92" i="14"/>
  <c r="L52" i="13"/>
  <c r="K56" i="13"/>
  <c r="L56" i="13" s="1"/>
  <c r="R32" i="14"/>
  <c r="Q32" i="20"/>
  <c r="R32" i="20"/>
  <c r="V25" i="8"/>
  <c r="R47" i="17"/>
  <c r="R48" i="17" s="1"/>
  <c r="R50" i="17" s="1"/>
  <c r="R16" i="17"/>
  <c r="R18" i="17" s="1"/>
  <c r="R26" i="17" s="1"/>
  <c r="E29" i="8"/>
  <c r="N29" i="13"/>
  <c r="M32" i="13"/>
  <c r="L26" i="19"/>
  <c r="K29" i="19"/>
  <c r="L26" i="8"/>
  <c r="I26" i="8"/>
  <c r="N26" i="16"/>
  <c r="M29" i="16"/>
  <c r="O29" i="16"/>
  <c r="P26" i="16"/>
  <c r="J26" i="8"/>
  <c r="O29" i="19"/>
  <c r="N26" i="8"/>
  <c r="P26" i="19"/>
  <c r="K29" i="13"/>
  <c r="D26" i="8"/>
  <c r="L26" i="13"/>
  <c r="K201" i="13"/>
  <c r="K204" i="13" s="1"/>
  <c r="Q68" i="20"/>
  <c r="L35" i="8"/>
  <c r="Q81" i="20"/>
  <c r="S32" i="14"/>
  <c r="P26" i="13"/>
  <c r="O201" i="13"/>
  <c r="O204" i="13" s="1"/>
  <c r="F26" i="8"/>
  <c r="O29" i="13"/>
  <c r="R68" i="14"/>
  <c r="E35" i="8"/>
  <c r="R81" i="14"/>
  <c r="S68" i="20"/>
  <c r="S81" i="20"/>
  <c r="N35" i="8"/>
  <c r="S93" i="17"/>
  <c r="O56" i="16"/>
  <c r="P56" i="16" s="1"/>
  <c r="S92" i="17"/>
  <c r="P52" i="16"/>
  <c r="O55" i="16"/>
  <c r="P55" i="16" s="1"/>
  <c r="Q67" i="20"/>
  <c r="L34" i="8"/>
  <c r="Q80" i="20"/>
  <c r="M29" i="8"/>
  <c r="M32" i="19"/>
  <c r="N29" i="19"/>
  <c r="S47" i="17"/>
  <c r="S48" i="17" s="1"/>
  <c r="S50" i="17" s="1"/>
  <c r="S16" i="17"/>
  <c r="S18" i="17" s="1"/>
  <c r="S26" i="17" s="1"/>
  <c r="R67" i="14"/>
  <c r="R80" i="14"/>
  <c r="E34" i="8"/>
  <c r="Q47" i="17"/>
  <c r="Q48" i="17" s="1"/>
  <c r="Q50" i="17" s="1"/>
  <c r="Q16" i="17"/>
  <c r="Q18" i="17" s="1"/>
  <c r="Q26" i="17" s="1"/>
  <c r="V13" i="8"/>
  <c r="R201" i="13"/>
  <c r="M204" i="13"/>
  <c r="R93" i="17"/>
  <c r="M55" i="16"/>
  <c r="N55" i="16" s="1"/>
  <c r="R92" i="17"/>
  <c r="N52" i="16"/>
  <c r="M56" i="16"/>
  <c r="N56" i="16" s="1"/>
  <c r="M63" i="16"/>
  <c r="N63" i="16" s="1"/>
  <c r="M64" i="16"/>
  <c r="M65" i="16" s="1"/>
  <c r="M62" i="16"/>
  <c r="N62" i="16" s="1"/>
  <c r="N59" i="16"/>
  <c r="S67" i="20"/>
  <c r="N34" i="8"/>
  <c r="S80" i="20"/>
  <c r="O63" i="16"/>
  <c r="P63" i="16" s="1"/>
  <c r="P59" i="16"/>
  <c r="O64" i="16"/>
  <c r="O65" i="16" s="1"/>
  <c r="O62" i="16"/>
  <c r="P62" i="16" s="1"/>
  <c r="V12" i="8"/>
  <c r="Q26" i="8"/>
  <c r="K26" i="22"/>
  <c r="M54" i="22"/>
  <c r="M55" i="22"/>
  <c r="L55" i="22"/>
  <c r="L54" i="22"/>
  <c r="K55" i="22"/>
  <c r="K54" i="22"/>
  <c r="K60" i="22"/>
  <c r="K61" i="22"/>
  <c r="K62" i="22" s="1"/>
  <c r="M60" i="22"/>
  <c r="M61" i="22"/>
  <c r="M62" i="22" s="1"/>
  <c r="M26" i="22"/>
  <c r="S26" i="8"/>
  <c r="L60" i="22"/>
  <c r="L61" i="22"/>
  <c r="L62" i="22" s="1"/>
  <c r="L26" i="22"/>
  <c r="R26" i="8"/>
  <c r="K56" i="16" l="1"/>
  <c r="L56" i="16" s="1"/>
  <c r="Q68" i="17" s="1"/>
  <c r="K63" i="16"/>
  <c r="L63" i="16" s="1"/>
  <c r="Q93" i="17"/>
  <c r="K29" i="16"/>
  <c r="L29" i="16" s="1"/>
  <c r="Q92" i="17"/>
  <c r="K55" i="16"/>
  <c r="L55" i="16" s="1"/>
  <c r="H34" i="8" s="1"/>
  <c r="L59" i="16"/>
  <c r="L26" i="16"/>
  <c r="K64" i="16"/>
  <c r="K65" i="16" s="1"/>
  <c r="Q32" i="14"/>
  <c r="S32" i="20"/>
  <c r="M233" i="19"/>
  <c r="Q68" i="14"/>
  <c r="Q81" i="14"/>
  <c r="D35" i="8"/>
  <c r="Q67" i="14"/>
  <c r="Q80" i="14"/>
  <c r="D34" i="8"/>
  <c r="S68" i="17"/>
  <c r="S81" i="17"/>
  <c r="J35" i="8"/>
  <c r="P29" i="13"/>
  <c r="O32" i="13"/>
  <c r="F29" i="8"/>
  <c r="R67" i="17"/>
  <c r="R80" i="17"/>
  <c r="I34" i="8"/>
  <c r="O229" i="13"/>
  <c r="O232" i="13" s="1"/>
  <c r="O220" i="13"/>
  <c r="O214" i="13"/>
  <c r="O205" i="13"/>
  <c r="V26" i="8"/>
  <c r="O32" i="19"/>
  <c r="P29" i="19"/>
  <c r="N29" i="8"/>
  <c r="J29" i="8"/>
  <c r="P29" i="16"/>
  <c r="O32" i="16"/>
  <c r="R81" i="17"/>
  <c r="I35" i="8"/>
  <c r="R68" i="17"/>
  <c r="L29" i="13"/>
  <c r="K32" i="13"/>
  <c r="D29" i="8"/>
  <c r="I29" i="8"/>
  <c r="M32" i="16"/>
  <c r="N29" i="16"/>
  <c r="L29" i="19"/>
  <c r="K32" i="19"/>
  <c r="L29" i="8"/>
  <c r="M229" i="13"/>
  <c r="M232" i="13" s="1"/>
  <c r="R204" i="13"/>
  <c r="M214" i="13"/>
  <c r="M220" i="13"/>
  <c r="R220" i="13" s="1"/>
  <c r="M205" i="13"/>
  <c r="Q32" i="17"/>
  <c r="Q58" i="17"/>
  <c r="M31" i="8"/>
  <c r="N32" i="19"/>
  <c r="M32" i="8" s="1"/>
  <c r="M43" i="19"/>
  <c r="K205" i="13"/>
  <c r="K220" i="13"/>
  <c r="K229" i="13"/>
  <c r="K232" i="13" s="1"/>
  <c r="K214" i="13"/>
  <c r="R58" i="17"/>
  <c r="R32" i="17"/>
  <c r="S32" i="17"/>
  <c r="S58" i="17"/>
  <c r="S67" i="17"/>
  <c r="J34" i="8"/>
  <c r="S80" i="17"/>
  <c r="E31" i="8"/>
  <c r="N32" i="13"/>
  <c r="E32" i="8" s="1"/>
  <c r="M43" i="13"/>
  <c r="Q64" i="23"/>
  <c r="Q50" i="23"/>
  <c r="Q35" i="8"/>
  <c r="R64" i="23"/>
  <c r="R35" i="8"/>
  <c r="R50" i="23"/>
  <c r="S34" i="8"/>
  <c r="S49" i="23"/>
  <c r="K28" i="22"/>
  <c r="Q29" i="8"/>
  <c r="L28" i="22"/>
  <c r="R29" i="8"/>
  <c r="S29" i="8"/>
  <c r="M28" i="22"/>
  <c r="Q34" i="8"/>
  <c r="Q49" i="23"/>
  <c r="R34" i="8"/>
  <c r="R49" i="23"/>
  <c r="S64" i="23"/>
  <c r="S50" i="23"/>
  <c r="S35" i="8"/>
  <c r="H35" i="8" l="1"/>
  <c r="V35" i="8" s="1"/>
  <c r="Q81" i="17"/>
  <c r="H29" i="8"/>
  <c r="V29" i="8" s="1"/>
  <c r="K32" i="16"/>
  <c r="H31" i="8" s="1"/>
  <c r="Q80" i="17"/>
  <c r="Q67" i="17"/>
  <c r="K43" i="19"/>
  <c r="L31" i="8"/>
  <c r="L32" i="19"/>
  <c r="L32" i="8" s="1"/>
  <c r="K234" i="13"/>
  <c r="K233" i="13"/>
  <c r="M234" i="13"/>
  <c r="M233" i="13"/>
  <c r="L32" i="13"/>
  <c r="D32" i="8" s="1"/>
  <c r="K43" i="13"/>
  <c r="D31" i="8"/>
  <c r="P32" i="16"/>
  <c r="J32" i="8" s="1"/>
  <c r="J31" i="8"/>
  <c r="O43" i="16"/>
  <c r="V34" i="8"/>
  <c r="O43" i="19"/>
  <c r="N31" i="8"/>
  <c r="P32" i="19"/>
  <c r="N32" i="8" s="1"/>
  <c r="M43" i="16"/>
  <c r="I31" i="8"/>
  <c r="N32" i="16"/>
  <c r="I32" i="8" s="1"/>
  <c r="O234" i="13"/>
  <c r="O233" i="13"/>
  <c r="E33" i="8"/>
  <c r="R64" i="14"/>
  <c r="M48" i="13"/>
  <c r="R75" i="14" s="1"/>
  <c r="R89" i="14"/>
  <c r="N43" i="13"/>
  <c r="M49" i="13"/>
  <c r="R77" i="14" s="1"/>
  <c r="M47" i="13"/>
  <c r="P32" i="13"/>
  <c r="F32" i="8" s="1"/>
  <c r="F31" i="8"/>
  <c r="O43" i="13"/>
  <c r="M49" i="19"/>
  <c r="R77" i="20" s="1"/>
  <c r="R89" i="20"/>
  <c r="N43" i="19"/>
  <c r="M33" i="8"/>
  <c r="M47" i="19"/>
  <c r="R64" i="20"/>
  <c r="M48" i="19"/>
  <c r="R75" i="20" s="1"/>
  <c r="V42" i="8"/>
  <c r="M41" i="22"/>
  <c r="S31" i="8"/>
  <c r="M30" i="22"/>
  <c r="D49" i="11" s="1"/>
  <c r="D48" i="11"/>
  <c r="R31" i="8"/>
  <c r="C48" i="11"/>
  <c r="L30" i="22"/>
  <c r="C49" i="11" s="1"/>
  <c r="L41" i="22"/>
  <c r="B48" i="11"/>
  <c r="K30" i="22"/>
  <c r="B49" i="11" s="1"/>
  <c r="K41" i="22"/>
  <c r="Q31" i="8"/>
  <c r="K43" i="16" l="1"/>
  <c r="Q89" i="17" s="1"/>
  <c r="L32" i="16"/>
  <c r="H32" i="8" s="1"/>
  <c r="V32" i="8" s="1"/>
  <c r="V31" i="8"/>
  <c r="M48" i="16"/>
  <c r="R75" i="17" s="1"/>
  <c r="R64" i="17"/>
  <c r="M49" i="16"/>
  <c r="R77" i="17" s="1"/>
  <c r="R89" i="17"/>
  <c r="M47" i="16"/>
  <c r="N43" i="16"/>
  <c r="I33" i="8"/>
  <c r="F33" i="8"/>
  <c r="S64" i="14"/>
  <c r="P43" i="13"/>
  <c r="O48" i="13"/>
  <c r="S75" i="14" s="1"/>
  <c r="S89" i="14"/>
  <c r="O49" i="13"/>
  <c r="S77" i="14" s="1"/>
  <c r="O47" i="13"/>
  <c r="O47" i="19"/>
  <c r="O48" i="19"/>
  <c r="S75" i="20" s="1"/>
  <c r="S64" i="20"/>
  <c r="N33" i="8"/>
  <c r="P43" i="19"/>
  <c r="O49" i="19"/>
  <c r="S77" i="20" s="1"/>
  <c r="S89" i="20"/>
  <c r="S89" i="17"/>
  <c r="J33" i="8"/>
  <c r="P43" i="16"/>
  <c r="O49" i="16"/>
  <c r="S77" i="17" s="1"/>
  <c r="O47" i="16"/>
  <c r="O48" i="16"/>
  <c r="S75" i="17" s="1"/>
  <c r="S64" i="17"/>
  <c r="K49" i="13"/>
  <c r="Q77" i="14" s="1"/>
  <c r="L43" i="13"/>
  <c r="K47" i="13"/>
  <c r="Q64" i="14"/>
  <c r="D33" i="8"/>
  <c r="Q89" i="14"/>
  <c r="K48" i="13"/>
  <c r="Q75" i="14" s="1"/>
  <c r="L33" i="8"/>
  <c r="K47" i="19"/>
  <c r="Q89" i="20"/>
  <c r="K49" i="19"/>
  <c r="Q77" i="20" s="1"/>
  <c r="K48" i="19"/>
  <c r="Q75" i="20" s="1"/>
  <c r="Q64" i="20"/>
  <c r="L43" i="19"/>
  <c r="K45" i="22"/>
  <c r="Q45" i="23" s="1"/>
  <c r="Q33" i="8"/>
  <c r="K46" i="22"/>
  <c r="Q47" i="23" s="1"/>
  <c r="K44" i="22"/>
  <c r="Q61" i="23"/>
  <c r="S33" i="8"/>
  <c r="M45" i="22"/>
  <c r="S45" i="23" s="1"/>
  <c r="S61" i="23"/>
  <c r="M46" i="22"/>
  <c r="S47" i="23" s="1"/>
  <c r="M44" i="22"/>
  <c r="R33" i="8"/>
  <c r="L45" i="22"/>
  <c r="R45" i="23" s="1"/>
  <c r="L44" i="22"/>
  <c r="L46" i="22"/>
  <c r="R47" i="23" s="1"/>
  <c r="R61" i="23"/>
  <c r="Q64" i="17" l="1"/>
  <c r="K48" i="16"/>
  <c r="Q75" i="17" s="1"/>
  <c r="K47" i="16"/>
  <c r="H33" i="8"/>
  <c r="K49" i="16"/>
  <c r="Q77" i="17" s="1"/>
  <c r="L43" i="16"/>
  <c r="V33" i="8"/>
</calcChain>
</file>

<file path=xl/comments1.xml><?xml version="1.0" encoding="utf-8"?>
<comments xmlns="http://schemas.openxmlformats.org/spreadsheetml/2006/main">
  <authors>
    <author>KriegK</author>
    <author>Krieg, Karl (LEL)</author>
  </authors>
  <commentList>
    <comment ref="C19" authorId="0" shapeId="0">
      <text>
        <r>
          <rPr>
            <sz val="9"/>
            <color indexed="81"/>
            <rFont val="Tahoma"/>
            <family val="2"/>
          </rPr>
          <t xml:space="preserve">LEL:
30 % Stall/Lager/Ausbringverluste lt. "NÄBI-light",org. Dünger: 10 % TS, Mittel aus Acker-Grünlandgülle
</t>
        </r>
      </text>
    </comment>
    <comment ref="C54" authorId="1" shapeId="0">
      <text>
        <r>
          <rPr>
            <sz val="8"/>
            <color indexed="81"/>
            <rFont val="Tahoma"/>
            <family val="2"/>
          </rPr>
          <t xml:space="preserve">2015 auslaufend
</t>
        </r>
      </text>
    </comment>
  </commentList>
</comments>
</file>

<file path=xl/comments2.xml><?xml version="1.0" encoding="utf-8"?>
<comments xmlns="http://schemas.openxmlformats.org/spreadsheetml/2006/main">
  <authors>
    <author>krieg</author>
  </authors>
  <commentList>
    <comment ref="AZ46" authorId="0" shapeId="0">
      <text>
        <r>
          <rPr>
            <b/>
            <sz val="8"/>
            <color indexed="81"/>
            <rFont val="Tahoma"/>
            <family val="2"/>
          </rPr>
          <t>krieg:</t>
        </r>
        <r>
          <rPr>
            <sz val="8"/>
            <color indexed="81"/>
            <rFont val="Tahoma"/>
            <family val="2"/>
          </rPr>
          <t xml:space="preserve">
hochschätzung wg.lücke i.d. erfassung
</t>
        </r>
      </text>
    </comment>
  </commentList>
</comments>
</file>

<file path=xl/comments3.xml><?xml version="1.0" encoding="utf-8"?>
<comments xmlns="http://schemas.openxmlformats.org/spreadsheetml/2006/main">
  <authors>
    <author>Ein geschätzter Microsoft Office Anwender</author>
  </authors>
  <commentList>
    <comment ref="E30" authorId="0" shapeId="0">
      <text>
        <r>
          <rPr>
            <sz val="8"/>
            <color indexed="81"/>
            <rFont val="Tahoma"/>
            <family val="2"/>
          </rPr>
          <t>Unter der Annahme, dass aus 1 kg Kraftfutter 2 kg Milch erzeugt werden können.</t>
        </r>
      </text>
    </comment>
  </commentList>
</comments>
</file>

<file path=xl/comments4.xml><?xml version="1.0" encoding="utf-8"?>
<comments xmlns="http://schemas.openxmlformats.org/spreadsheetml/2006/main">
  <authors>
    <author>Ein geschätzter Microsoft Office Anwender</author>
  </authors>
  <commentList>
    <comment ref="E30" authorId="0" shapeId="0">
      <text>
        <r>
          <rPr>
            <sz val="8"/>
            <color indexed="81"/>
            <rFont val="Tahoma"/>
            <family val="2"/>
          </rPr>
          <t>Unter der Annahme, daß aus 1 kg Kraftfutter 2 kg Milch erzeugt werden können.</t>
        </r>
      </text>
    </comment>
  </commentList>
</comments>
</file>

<file path=xl/comments5.xml><?xml version="1.0" encoding="utf-8"?>
<comments xmlns="http://schemas.openxmlformats.org/spreadsheetml/2006/main">
  <authors>
    <author>Karl Krieg</author>
  </authors>
  <commentList>
    <comment ref="E34" authorId="0" shapeId="0">
      <text>
        <r>
          <rPr>
            <sz val="8"/>
            <color indexed="81"/>
            <rFont val="Tahoma"/>
            <family val="2"/>
          </rPr>
          <t xml:space="preserve">Kein Ansatz von Vermarktungskosten, da eigene Nz.
</t>
        </r>
      </text>
    </comment>
    <comment ref="AU37" authorId="0" shapeId="0">
      <text>
        <r>
          <rPr>
            <sz val="8"/>
            <color indexed="81"/>
            <rFont val="Tahoma"/>
            <family val="2"/>
          </rPr>
          <t xml:space="preserve">ggf. überschreiben
</t>
        </r>
      </text>
    </comment>
    <comment ref="H149" authorId="0" shapeId="0">
      <text>
        <r>
          <rPr>
            <sz val="8"/>
            <color indexed="81"/>
            <rFont val="Tahoma"/>
            <family val="2"/>
          </rPr>
          <t xml:space="preserve">ggf. überschreiben
</t>
        </r>
      </text>
    </comment>
  </commentList>
</comments>
</file>

<file path=xl/comments6.xml><?xml version="1.0" encoding="utf-8"?>
<comments xmlns="http://schemas.openxmlformats.org/spreadsheetml/2006/main">
  <authors>
    <author>krieg</author>
  </authors>
  <commentList>
    <comment ref="B54" authorId="0" shapeId="0">
      <text>
        <r>
          <rPr>
            <sz val="8"/>
            <color indexed="81"/>
            <rFont val="Tahoma"/>
            <family val="2"/>
          </rPr>
          <t xml:space="preserve">wg. div. Änderungen bei der Erhebung ist die Vergleichbarkeit der  Jahre 1980 u. 1990 mit späteren Jahren nur eingeschränkt  gegeben.
ab 2009 sind die Auswertungsklassen geändert
</t>
        </r>
      </text>
    </comment>
  </commentList>
</comments>
</file>

<file path=xl/comments7.xml><?xml version="1.0" encoding="utf-8"?>
<comments xmlns="http://schemas.openxmlformats.org/spreadsheetml/2006/main">
  <authors>
    <author>krieg</author>
  </authors>
  <commentList>
    <comment ref="I105" authorId="0" shapeId="0">
      <text>
        <r>
          <rPr>
            <sz val="8"/>
            <color indexed="81"/>
            <rFont val="Tahoma"/>
            <family val="2"/>
          </rPr>
          <t xml:space="preserve">Zahl berichtigt.( KTBL-Taschenbuch statt KTBL-Datesammlung)
</t>
        </r>
      </text>
    </comment>
  </commentList>
</comments>
</file>

<file path=xl/sharedStrings.xml><?xml version="1.0" encoding="utf-8"?>
<sst xmlns="http://schemas.openxmlformats.org/spreadsheetml/2006/main" count="4102" uniqueCount="1597">
  <si>
    <t>RP-STUTTGART</t>
  </si>
  <si>
    <t>Baden-Baden</t>
  </si>
  <si>
    <t>Karlsruhe</t>
  </si>
  <si>
    <t>Rastatt</t>
  </si>
  <si>
    <t>Mannheim</t>
  </si>
  <si>
    <t>Neckar-Odenwald-Kreis</t>
  </si>
  <si>
    <t>Pforzheim</t>
  </si>
  <si>
    <t>Calw</t>
  </si>
  <si>
    <t>Enzkreis</t>
  </si>
  <si>
    <t>Freudenstadt</t>
  </si>
  <si>
    <t>RP-Karlsruhe</t>
  </si>
  <si>
    <t>Freiburg</t>
  </si>
  <si>
    <t>Breisgau-Hochschw.wald</t>
  </si>
  <si>
    <t>Emmendingen</t>
  </si>
  <si>
    <t>Ortenaukreis</t>
  </si>
  <si>
    <t>Rottweil</t>
  </si>
  <si>
    <t>Schwarzw.Baar-Kreis</t>
  </si>
  <si>
    <t>Tuttlingen</t>
  </si>
  <si>
    <t>Konstanz</t>
  </si>
  <si>
    <t>Lörrach</t>
  </si>
  <si>
    <t>Waldshut</t>
  </si>
  <si>
    <t>RP-Freiburg</t>
  </si>
  <si>
    <t>Reutlingen</t>
  </si>
  <si>
    <t>Tübingen</t>
  </si>
  <si>
    <t>Zollernalbkreis</t>
  </si>
  <si>
    <t>Ulm</t>
  </si>
  <si>
    <t>Alb-Donau-Kreis</t>
  </si>
  <si>
    <t>Biberach</t>
  </si>
  <si>
    <t>Bodenseekreis</t>
  </si>
  <si>
    <t>Ravensburg</t>
  </si>
  <si>
    <t>Sigmaringen</t>
  </si>
  <si>
    <t>RP-Tübingen</t>
  </si>
  <si>
    <t>Baden-Württemberg</t>
  </si>
  <si>
    <t>KTBL. S. 171; 99/00; Melkstand, Kühlung, KF-Automat, jeweils ohne Strom = 75,- DM+Futtervorlage: Pauschalwert = 7 Pf p. Tag (analog R.Mastdatei)</t>
  </si>
  <si>
    <t>Lohnarbeit:</t>
  </si>
  <si>
    <t>überbetriebl. Gülleausbringung: ca. 7,- DM p. m³, einschl. Mwst.; abzgl. MEKA: umweltfreundliche Gülleausbringung: ca. 2,-DM/m³</t>
  </si>
  <si>
    <t>Sonstiges:</t>
  </si>
  <si>
    <t>z.B. Vermarktung Altkuh ( anteilig ) u.a.</t>
  </si>
  <si>
    <t>Grundfutterleistung</t>
  </si>
  <si>
    <r>
      <t>Zinsansatz</t>
    </r>
    <r>
      <rPr>
        <sz val="12"/>
        <rFont val="Arial"/>
        <family val="2"/>
      </rPr>
      <t xml:space="preserve"> </t>
    </r>
    <r>
      <rPr>
        <sz val="10"/>
        <rFont val="Arial"/>
        <family val="2"/>
      </rPr>
      <t>(für Vieh- u. Umlaufvermögen)</t>
    </r>
  </si>
  <si>
    <t>Zinssatz (i) in %:</t>
  </si>
  <si>
    <t xml:space="preserve">  Vieh-u.Umlaufverm. </t>
  </si>
  <si>
    <t xml:space="preserve">Grundfutterkosten </t>
  </si>
  <si>
    <t xml:space="preserve"> </t>
  </si>
  <si>
    <r>
      <t xml:space="preserve">           </t>
    </r>
    <r>
      <rPr>
        <sz val="12"/>
        <rFont val="Arial"/>
        <family val="2"/>
      </rPr>
      <t xml:space="preserve"> €</t>
    </r>
    <r>
      <rPr>
        <sz val="11"/>
        <rFont val="Arial"/>
        <family val="2"/>
      </rPr>
      <t xml:space="preserve">/10 MJ NEL   </t>
    </r>
  </si>
  <si>
    <t>Grundfutterverbrauch insgesamt</t>
  </si>
  <si>
    <t xml:space="preserve">10 MJ NEL/Einh.  </t>
  </si>
  <si>
    <t>Lohnansatz (ständige AK)</t>
  </si>
  <si>
    <t>Arbeitszeitbedarf (ständige AK)</t>
  </si>
  <si>
    <t>AKh/Einh.</t>
  </si>
  <si>
    <t>Festkosten Stall</t>
  </si>
  <si>
    <r>
      <t>€</t>
    </r>
    <r>
      <rPr>
        <sz val="11"/>
        <rFont val="Arial"/>
        <family val="2"/>
      </rPr>
      <t>/Pl.</t>
    </r>
  </si>
  <si>
    <t>Festkosten stationäre Technik</t>
  </si>
  <si>
    <t>Festkosten mobile Technik</t>
  </si>
  <si>
    <t>Festkosten Quote</t>
  </si>
  <si>
    <r>
      <t>Quotenpreis</t>
    </r>
    <r>
      <rPr>
        <sz val="14"/>
        <rFont val="Arial"/>
        <family val="2"/>
      </rPr>
      <t xml:space="preserve"> </t>
    </r>
  </si>
  <si>
    <r>
      <t>€</t>
    </r>
    <r>
      <rPr>
        <sz val="11"/>
        <rFont val="Arial"/>
        <family val="2"/>
      </rPr>
      <t xml:space="preserve"> insg.</t>
    </r>
  </si>
  <si>
    <t>Kostenrechnung</t>
  </si>
  <si>
    <t>€/kg Milch</t>
  </si>
  <si>
    <t xml:space="preserve">   dav.</t>
  </si>
  <si>
    <t>Erlös Milch</t>
  </si>
  <si>
    <t>€/Einh.</t>
  </si>
  <si>
    <t>Nebenleistung</t>
  </si>
  <si>
    <t>Erlös Kalb</t>
  </si>
  <si>
    <t>Kraftfutter</t>
  </si>
  <si>
    <t xml:space="preserve">Tierarzt, Medik.,Klauenpfl. </t>
  </si>
  <si>
    <t>variable Maschinenkosten + Lohnarbeit</t>
  </si>
  <si>
    <t>Sonstige variable Kosten</t>
  </si>
  <si>
    <t>Zinsansatz Vieh- u. Umlaufvermögen</t>
  </si>
  <si>
    <t>Deckungsbeitrag B (vor Grundfutter)</t>
  </si>
  <si>
    <t>Deckungsbeitrag B (nach Grundfutter)</t>
  </si>
  <si>
    <t>kg Milch</t>
  </si>
  <si>
    <t>1) unter Berücksichtigung technischer Verluste beim Grundfutter</t>
  </si>
  <si>
    <t>Energiestufe 3</t>
  </si>
  <si>
    <t>alle Preise ohne Mwst.,ohne Berücksichtigung von Eigenleistungen</t>
  </si>
  <si>
    <t>I</t>
  </si>
  <si>
    <r>
      <t>Arbeitszeitbedarf</t>
    </r>
    <r>
      <rPr>
        <sz val="13"/>
        <rFont val="Arial"/>
        <family val="2"/>
      </rPr>
      <t xml:space="preserve"> </t>
    </r>
    <r>
      <rPr>
        <sz val="12"/>
        <rFont val="Arial"/>
        <family val="2"/>
      </rPr>
      <t>(ständige AK)</t>
    </r>
  </si>
  <si>
    <t>Akh/Einh.</t>
  </si>
  <si>
    <r>
      <t>Lohnansatz</t>
    </r>
    <r>
      <rPr>
        <sz val="11"/>
        <rFont val="Arial"/>
        <family val="2"/>
      </rPr>
      <t xml:space="preserve"> (ständige AK)</t>
    </r>
  </si>
  <si>
    <t>Feste Kosten Gebäude</t>
  </si>
  <si>
    <t>Feste Kosten stationäre Technik</t>
  </si>
  <si>
    <t>Feste Kosten mobile Technik</t>
  </si>
  <si>
    <t>Kosten Milchreferenzmenge</t>
  </si>
  <si>
    <t>Summe feste Spezial- u. Gemeinkosten</t>
  </si>
  <si>
    <t>Kalk. Betriebszweigergebnis</t>
  </si>
  <si>
    <r>
      <t>Arbeit</t>
    </r>
    <r>
      <rPr>
        <sz val="11"/>
        <rFont val="Arial"/>
        <family val="2"/>
      </rPr>
      <t xml:space="preserve"> </t>
    </r>
    <r>
      <rPr>
        <sz val="10"/>
        <rFont val="Arial"/>
        <family val="2"/>
      </rPr>
      <t>(= erreichter Std.lohn für ständige AK)</t>
    </r>
  </si>
  <si>
    <t xml:space="preserve">Summe Leistungen </t>
  </si>
  <si>
    <t>Summe Kosten</t>
  </si>
  <si>
    <t>abzgl. Neben- u. Ausgleichsleistungen</t>
  </si>
  <si>
    <t>Kennwerte</t>
  </si>
  <si>
    <t>Tierarzt, Medik., Klauenpflege</t>
  </si>
  <si>
    <t xml:space="preserve">Tierarzt, Medik.,Klauenpflege </t>
  </si>
  <si>
    <t>Festkosten u. Arbeit</t>
  </si>
  <si>
    <t>Direktkostenfreie Leistung</t>
  </si>
  <si>
    <t xml:space="preserve">1.   </t>
  </si>
  <si>
    <t>a)</t>
  </si>
  <si>
    <t>Werte pro Kuh (1)</t>
  </si>
  <si>
    <t xml:space="preserve">  Kalenderjahr:</t>
  </si>
  <si>
    <t xml:space="preserve"> kg/Kuh</t>
  </si>
  <si>
    <t xml:space="preserve"> €/kg</t>
  </si>
  <si>
    <t>Erlöse Milch</t>
  </si>
  <si>
    <t xml:space="preserve"> €/Kuh</t>
  </si>
  <si>
    <t>Neben- und Ausgleichsleistungen</t>
  </si>
  <si>
    <t>Summe Leistungen</t>
  </si>
  <si>
    <t xml:space="preserve">Kraftfutter </t>
  </si>
  <si>
    <t>Summe variable Kosten</t>
  </si>
  <si>
    <t xml:space="preserve">bei ...Kuhplätzen  </t>
  </si>
  <si>
    <t>Sicherheitszuschlag von:</t>
  </si>
  <si>
    <t xml:space="preserve">bei ...Kuhplätzen </t>
  </si>
  <si>
    <t>Weide und/oder Grünfutterholen-%-Anteile für variable Kosten der Futtervorlage</t>
  </si>
  <si>
    <t xml:space="preserve">Melken = 4,6 Akmin/tier u. Tag + Füttern=2,5 Akmin. /Tier u. Tag  </t>
  </si>
  <si>
    <t>Weideanteil für %-Anteil der auszubringenden Gülle und Methananfall</t>
  </si>
  <si>
    <t>auszubringende Gülle bei entsprechendem Weideanteil</t>
  </si>
  <si>
    <t>(bei Weide und Grünfutterverfahren fallen keine Futtervorlagekosten an;</t>
  </si>
  <si>
    <t>(FAT-Berichte-Nr. 621/2004, S.30;  --&gt;2 Fuhren p. Stunde, 1 Fuhre =7 - 10m3; (Auslastung für AFA = 400 Fu/Jahr))</t>
  </si>
  <si>
    <t>bei........ m3 Entnahmeleist.</t>
  </si>
  <si>
    <t>generell eine überbetriebliche Dungausbringung unterstellt.</t>
  </si>
  <si>
    <t>Schlepper</t>
  </si>
  <si>
    <t>Fu-mischwagen</t>
  </si>
  <si>
    <t>Summe:</t>
  </si>
  <si>
    <t>bzw. sind in den dortigen Verfahrenskosten enthalten)</t>
  </si>
  <si>
    <t>Weideanteil des Grundfutters</t>
  </si>
  <si>
    <t>davon in Stallfütterung  (ohne Weide)</t>
  </si>
  <si>
    <t>vorzulegendes konserviertes Futter bei entspr. Anteil an Weide und Grünfutter</t>
  </si>
  <si>
    <t>kg Kraftfutter entspricht dabei:</t>
  </si>
  <si>
    <t>Soja-anteil in %</t>
  </si>
  <si>
    <t>Jahressumme</t>
  </si>
  <si>
    <t>Ø - Preis (Jahr), gewogen</t>
  </si>
  <si>
    <t>gewogener Durchschnitt</t>
  </si>
  <si>
    <r>
      <t>Quelle: "Erhebungsbrüche": 1980:  Betriebe "bis 50 u. mehr Tiere"; 1990:"40-50 und 50-60 Tiere; 60 u. mehr Tiere",</t>
    </r>
    <r>
      <rPr>
        <b/>
        <sz val="10"/>
        <rFont val="Arial"/>
        <family val="2"/>
      </rPr>
      <t xml:space="preserve"> Ab 1999:</t>
    </r>
    <r>
      <rPr>
        <sz val="10"/>
        <rFont val="Arial"/>
        <family val="2"/>
      </rPr>
      <t xml:space="preserve"> "40-60 Tiere , 60 u. mehr Tiere, zusätzlich: Erhebungsgrenze =  &gt;2 ha+&gt;8 Rinder, (bis 1999 &gt;1ha, )Erhebungszeitraum von Dez. auf Ma</t>
    </r>
  </si>
  <si>
    <t>Deckungsbeitrag B nach Grundfutter</t>
  </si>
  <si>
    <t>1.</t>
  </si>
  <si>
    <t>Werte pro Kuh (2)</t>
  </si>
  <si>
    <t>Umtriebe / Jahr</t>
  </si>
  <si>
    <t>Z.6</t>
  </si>
  <si>
    <r>
      <t>10 MJ NEL bzw.</t>
    </r>
    <r>
      <rPr>
        <sz val="11"/>
        <color indexed="18"/>
        <rFont val="Arial"/>
        <family val="2"/>
      </rPr>
      <t xml:space="preserve"> €/Einh.  </t>
    </r>
  </si>
  <si>
    <r>
      <t xml:space="preserve">10 MJ NEL bzw. </t>
    </r>
    <r>
      <rPr>
        <sz val="11"/>
        <color indexed="18"/>
        <rFont val="Arial"/>
        <family val="2"/>
      </rPr>
      <t xml:space="preserve">€/Einh.  </t>
    </r>
  </si>
  <si>
    <t>(-) Grundfutter(voll)kosten</t>
  </si>
  <si>
    <t>Summe feste Kosten und Lohnansatz</t>
  </si>
  <si>
    <r>
      <t>Sonstige variable Kosten</t>
    </r>
    <r>
      <rPr>
        <sz val="10"/>
        <rFont val="Arial"/>
        <family val="2"/>
      </rPr>
      <t xml:space="preserve"> (inkl. Zinsansatz Vieh.-u. Uml.verm)</t>
    </r>
  </si>
  <si>
    <r>
      <t xml:space="preserve">Sonstige variable Kosten </t>
    </r>
    <r>
      <rPr>
        <sz val="10"/>
        <rFont val="Arial"/>
        <family val="2"/>
      </rPr>
      <t>(inkl. Zinsansatz Vieh.-u. Uml.verm)</t>
    </r>
  </si>
  <si>
    <t>Summe feste Kosten u. Lohnansatz</t>
  </si>
  <si>
    <t>(ohne Berücksichtigung von Kosten für Gebäude und stationäre Technik)</t>
  </si>
  <si>
    <t xml:space="preserve">10 MJ NEL/Einh. bzw. €/Einh.  </t>
  </si>
  <si>
    <t>Feste Kosten Gebäude und stationäre Technik</t>
  </si>
  <si>
    <t>Sonderfutter</t>
  </si>
  <si>
    <t>Sonderfuttermittel</t>
  </si>
  <si>
    <t>Kalkulatorisches Betriebszweigergebnis</t>
  </si>
  <si>
    <t>(Unternehmergewinn / - verlust)</t>
  </si>
  <si>
    <t>b)</t>
  </si>
  <si>
    <t>Kapitalbedarf je Platz</t>
  </si>
  <si>
    <t>bis</t>
  </si>
  <si>
    <t xml:space="preserve">  Werte pro kg Milch (1)</t>
  </si>
  <si>
    <t>Werte pro kg Milch (2)</t>
  </si>
  <si>
    <t>2.</t>
  </si>
  <si>
    <t>Grundfutter - % - anteile, Summe muß 100 % betragen !!</t>
  </si>
  <si>
    <t>langfristige Betrachtung</t>
  </si>
  <si>
    <t>Arbeit</t>
  </si>
  <si>
    <t>=</t>
  </si>
  <si>
    <t>erreichter Stundenlohn</t>
  </si>
  <si>
    <t xml:space="preserve"> €/AKh</t>
  </si>
  <si>
    <t>Stallplatz</t>
  </si>
  <si>
    <t>max. Gebäudekosten / Jahr</t>
  </si>
  <si>
    <t xml:space="preserve"> €/Pl.</t>
  </si>
  <si>
    <t>ohne Fu-bau:</t>
  </si>
  <si>
    <t>Kostendeckender Erlös</t>
  </si>
  <si>
    <t>45 -125 kg</t>
  </si>
  <si>
    <t>rechenbare Jahre</t>
  </si>
  <si>
    <t>für das Hauptprodukt (langfristig)</t>
  </si>
  <si>
    <t>mittelfristige Betrachtung</t>
  </si>
  <si>
    <t>(volle Entlohnung von Quote, Gemeinkosten)</t>
  </si>
  <si>
    <t>(volle Entlohnung von Arbeit, Gemeinkosten)</t>
  </si>
  <si>
    <t>für das Hauptprodukt (mittelfristig)</t>
  </si>
  <si>
    <t>Milchkuh; Holstein-Sbt.</t>
  </si>
  <si>
    <r>
      <t>€</t>
    </r>
    <r>
      <rPr>
        <sz val="11"/>
        <rFont val="Arial"/>
        <family val="2"/>
      </rPr>
      <t>/</t>
    </r>
    <r>
      <rPr>
        <sz val="10"/>
        <rFont val="Arial"/>
        <family val="2"/>
      </rPr>
      <t>St.</t>
    </r>
  </si>
  <si>
    <r>
      <t>€</t>
    </r>
    <r>
      <rPr>
        <sz val="11"/>
        <rFont val="Arial"/>
        <family val="2"/>
      </rPr>
      <t>/dt</t>
    </r>
  </si>
  <si>
    <r>
      <t>€/</t>
    </r>
    <r>
      <rPr>
        <sz val="11"/>
        <rFont val="Arial"/>
        <family val="2"/>
      </rPr>
      <t>Einh.</t>
    </r>
  </si>
  <si>
    <t>Verweildauer weibl. Kälber bis einschl.</t>
  </si>
  <si>
    <t>Akh-Anteil</t>
  </si>
  <si>
    <t>Akh/ha</t>
  </si>
  <si>
    <t>Summe Akh-Grundfutter:</t>
  </si>
  <si>
    <t xml:space="preserve">1. Woche Einzelboxen, ab 2. Woche eingestreute Zweiflächenbucht im Offenfrontstall, ggf. mit Tränkeautomat, Fressplatz planbefestigt. </t>
  </si>
  <si>
    <t xml:space="preserve">Liegeboxenlaufstall 1*3-reihig für 3 Altersgruppen, Futtertisch teilüberdacht und mit offener Front,
6 Mon. Güllelager </t>
  </si>
  <si>
    <t>Verweildauer ab</t>
  </si>
  <si>
    <t>Fu-weizen</t>
  </si>
  <si>
    <t>Fu-gerste</t>
  </si>
  <si>
    <t>Mahl-Misch-Lagerkosten</t>
  </si>
  <si>
    <t>ca. Kosten eigene Mischung</t>
  </si>
  <si>
    <t>(ohne Min.futter)</t>
  </si>
  <si>
    <r>
      <t xml:space="preserve">            </t>
    </r>
    <r>
      <rPr>
        <sz val="12"/>
        <rFont val="Arial"/>
        <family val="2"/>
      </rPr>
      <t>€/</t>
    </r>
    <r>
      <rPr>
        <sz val="11"/>
        <rFont val="Arial"/>
        <family val="2"/>
      </rPr>
      <t xml:space="preserve">10 MJ NEL   </t>
    </r>
  </si>
  <si>
    <t xml:space="preserve">(Summe Stallplatz: </t>
  </si>
  <si>
    <r>
      <t xml:space="preserve">€ </t>
    </r>
    <r>
      <rPr>
        <sz val="11"/>
        <rFont val="Arial"/>
        <family val="2"/>
      </rPr>
      <t>insg.</t>
    </r>
  </si>
  <si>
    <t>Z.5+Z.6+Z.7+Z.17</t>
  </si>
  <si>
    <t>Milchkuh; Braunvieh</t>
  </si>
  <si>
    <r>
      <t xml:space="preserve">         </t>
    </r>
    <r>
      <rPr>
        <sz val="12"/>
        <rFont val="Arial"/>
        <family val="2"/>
      </rPr>
      <t xml:space="preserve">   €</t>
    </r>
    <r>
      <rPr>
        <sz val="11"/>
        <rFont val="Arial"/>
        <family val="2"/>
      </rPr>
      <t xml:space="preserve">/10 MJ NEL   </t>
    </r>
  </si>
  <si>
    <t>(Jan)</t>
  </si>
  <si>
    <t>Ø - %</t>
  </si>
  <si>
    <t>Se. Tiere:</t>
  </si>
  <si>
    <r>
      <t>Stall u. stat. Technik</t>
    </r>
    <r>
      <rPr>
        <sz val="10"/>
        <rFont val="Arial"/>
        <family val="2"/>
      </rPr>
      <t xml:space="preserve"> (=max.Kosten / Jahr)</t>
    </r>
  </si>
  <si>
    <t>Bauneben-kosten</t>
  </si>
  <si>
    <t xml:space="preserve">Nutzkälberversteigerung Niederrieden - </t>
  </si>
  <si>
    <t>männlich</t>
  </si>
  <si>
    <t>Schwarzbunt</t>
  </si>
  <si>
    <t>weiblich</t>
  </si>
  <si>
    <t>Verhältnis Fleckvieh zu Braunvieh in %</t>
  </si>
  <si>
    <t>Verhältnis Schwarzbunte männl. Kälber zu weibl. Sbt.</t>
  </si>
  <si>
    <t>männl. zu weibl.</t>
  </si>
  <si>
    <t>Verknüpfungszelle; Wert Fettgehalt x 100</t>
  </si>
  <si>
    <t>Verhältnis Schwarzbunte männl. Kälber zu männl. Braunvieh</t>
  </si>
  <si>
    <t>Schw.bunt</t>
  </si>
  <si>
    <t>anzahl</t>
  </si>
  <si>
    <t>Tage</t>
  </si>
  <si>
    <t>nicht repräsentativer Schätzwert nach Auskunft d. Landhandels, sehr weites Preisspektrum</t>
  </si>
  <si>
    <r>
      <t>Kosten Geb., baul. Anlagen.</t>
    </r>
    <r>
      <rPr>
        <b/>
        <vertAlign val="superscript"/>
        <sz val="11"/>
        <rFont val="Arial"/>
        <family val="2"/>
      </rPr>
      <t>2)</t>
    </r>
  </si>
  <si>
    <t>2) einschl.Dunglager, ohne Grundfutterlager</t>
  </si>
  <si>
    <t>3) Melkanlage, Milchkühlung, KF-Automaten;    Güllepumpe mit Rührwerk</t>
  </si>
  <si>
    <r>
      <t>Kosten stationäre Technik</t>
    </r>
    <r>
      <rPr>
        <b/>
        <vertAlign val="superscript"/>
        <sz val="11"/>
        <rFont val="Arial"/>
        <family val="2"/>
      </rPr>
      <t>3)</t>
    </r>
  </si>
  <si>
    <r>
      <t>Kosten mobile Technik</t>
    </r>
    <r>
      <rPr>
        <b/>
        <vertAlign val="superscript"/>
        <sz val="11"/>
        <rFont val="Arial"/>
        <family val="2"/>
      </rPr>
      <t>4)</t>
    </r>
  </si>
  <si>
    <t>2) einschl. Dunglager, ohne Grundfutterlager</t>
  </si>
  <si>
    <t>3) Güllepumpe mit Rührwerk</t>
  </si>
  <si>
    <r>
      <t>Kosten Geb., baul. Anl.</t>
    </r>
    <r>
      <rPr>
        <b/>
        <vertAlign val="superscript"/>
        <sz val="11"/>
        <rFont val="Arial"/>
        <family val="2"/>
      </rPr>
      <t>2)</t>
    </r>
  </si>
  <si>
    <t>BD-SHA-(Öko): Durchschn.=196,- DM/Kuh; Betr.zweigabrechnung 97/98</t>
  </si>
  <si>
    <t>Getr.</t>
  </si>
  <si>
    <t>Soja</t>
  </si>
  <si>
    <t>sb,weibl.</t>
  </si>
  <si>
    <t>brv, männl.</t>
  </si>
  <si>
    <t>sb, mä.</t>
  </si>
  <si>
    <t>brv.weibl.</t>
  </si>
  <si>
    <r>
      <t>Leistungsniveau</t>
    </r>
    <r>
      <rPr>
        <b/>
        <vertAlign val="superscript"/>
        <sz val="14"/>
        <rFont val="Arial"/>
        <family val="2"/>
      </rPr>
      <t xml:space="preserve"> </t>
    </r>
  </si>
  <si>
    <t xml:space="preserve">Leistungsniveau </t>
  </si>
  <si>
    <r>
      <t>Arbeit</t>
    </r>
    <r>
      <rPr>
        <sz val="11"/>
        <rFont val="Arial"/>
        <family val="2"/>
      </rPr>
      <t xml:space="preserve"> </t>
    </r>
  </si>
  <si>
    <t>Z.19 - Z.27</t>
  </si>
  <si>
    <t>(Z.28 + Z.23 + Z.24)*Z.3</t>
  </si>
  <si>
    <t>Z.14 + Z.16 + Z.18 + Z.27</t>
  </si>
  <si>
    <t>Z.33 - Z.34</t>
  </si>
  <si>
    <t>Z.8+Z.9+Z.10+Z.11+Z.13+Z.16+Z.18</t>
  </si>
  <si>
    <t>Färsenaufzucht</t>
  </si>
  <si>
    <t>Erstkalbealter</t>
  </si>
  <si>
    <t>Monate</t>
  </si>
  <si>
    <t>Färse</t>
  </si>
  <si>
    <t>Erlös Kalbin</t>
  </si>
  <si>
    <t>Werte pro Färse (1)</t>
  </si>
  <si>
    <t>Erlöse Färse</t>
  </si>
  <si>
    <t>Werte pro Färse (2)</t>
  </si>
  <si>
    <t>(volle Entlohnung von Stallplatz, Gemeinkosten)</t>
  </si>
  <si>
    <t>(volle Entlohnung der Gemeinkosten)</t>
  </si>
  <si>
    <t xml:space="preserve">€/Einh. </t>
  </si>
  <si>
    <t xml:space="preserve">            €/10 MJ NEL   </t>
  </si>
  <si>
    <t>Weide</t>
  </si>
  <si>
    <t xml:space="preserve"> €/St.</t>
  </si>
  <si>
    <t xml:space="preserve"> €/St</t>
  </si>
  <si>
    <t>Wasser: ausschließl. aus öff. Wasserversorgung</t>
  </si>
  <si>
    <t>Deckungsbeitrag vor Grundfutter</t>
  </si>
  <si>
    <t>Deckungsbeitrag  nach Grundfutter</t>
  </si>
  <si>
    <t>Deckungsbeitrag  vor Grundfutter</t>
  </si>
  <si>
    <r>
      <t>J u n g v i e h s t a l l</t>
    </r>
    <r>
      <rPr>
        <sz val="12"/>
        <rFont val="Arial"/>
        <family val="2"/>
      </rPr>
      <t xml:space="preserve"> </t>
    </r>
  </si>
  <si>
    <t>(nur weibl. Jungvieh)</t>
  </si>
  <si>
    <t xml:space="preserve">Durch Wahl des Berechnungsjahres im Kopf des Blattes werden alle Annahmen für dieses Jahr in die rechte Spalte </t>
  </si>
  <si>
    <t>„Aktuell“ übernommen. Sie sind damit Grundlage der Berechnungen auf den Seiten a) und b).</t>
  </si>
  <si>
    <t>(ohne Mwst.)</t>
  </si>
  <si>
    <t xml:space="preserve">Die Interventionspreise resultieren aus den Beschlüssen zur Agenda 2000 bzw. den Luxemburger Beschlüssen vom </t>
  </si>
  <si>
    <t>Juni 2003 zur Reform der GAP.</t>
  </si>
  <si>
    <t>das gewählte Berechnungsjahr einschl. MwSt.</t>
  </si>
  <si>
    <t xml:space="preserve">Beim Verfahren Färsenaufzucht wurde nicht nach Rassen differenziert. Dem Erlös und den Kosten der </t>
  </si>
  <si>
    <t>Bestandsergänzung liegen hier kalkulatorische  Wertansätze zugrunde.</t>
  </si>
  <si>
    <t xml:space="preserve">dieser Prämienrechte erfolgt über die Verfahren des Futterbaues bzw. der Marktfruchtverfahren, jedoch unabhängig </t>
  </si>
  <si>
    <t>Nutztierassen gefördert.</t>
  </si>
  <si>
    <t xml:space="preserve">Innerhalb eines Produktionsverfahrens werden Kennwerte für drei verschiedene Leistungsniveaus ermittelt. </t>
  </si>
  <si>
    <t xml:space="preserve">Bei der Fragestellung b) sollen Szenarien über die zukünftige Wirtschaftlichkeit bei alternativen Politiken oder Marktsituationen </t>
  </si>
  <si>
    <t>simuliert werden.</t>
  </si>
  <si>
    <t xml:space="preserve">jedem Anwender individuell auf die jeweilige Situation oder Fragestellung angepasst werden, indem die Werte in den gelben </t>
  </si>
  <si>
    <t>(Eingabe-) Feldern überschrieben werden.</t>
  </si>
  <si>
    <t xml:space="preserve">Von der Beratung und Praxis werden immer wieder Kalkulationsdaten bzw. Orientierungswerte zur Wirtschaftlichkeit der </t>
  </si>
  <si>
    <t xml:space="preserve">verschiedenen Produktionsverfahren gefordert. </t>
  </si>
  <si>
    <t xml:space="preserve">Um den Einsatz auch in der Fachschule oder Erwachsenenbildung zu erleichtern, werden die wichtigsten Ergebnisse </t>
  </si>
  <si>
    <t>und Kennzahlen auch in Form von Folienvorlagen dargestellt.</t>
  </si>
  <si>
    <t xml:space="preserve">Die ersten drei Registerblätter beinhalten Daten, die in alle in der jeweiligen Datei enthaltenen Produktionsverfahren einfließen. </t>
  </si>
  <si>
    <t>Es sind dies die Registerblätter</t>
  </si>
  <si>
    <t xml:space="preserve">         Berechnung des Stallplatzbedarfes</t>
  </si>
  <si>
    <r>
      <t xml:space="preserve">Oben rechts ist das Jahr einzugeben, für das die folgenden Berechnungen durchgeführt werden sollen. </t>
    </r>
    <r>
      <rPr>
        <b/>
        <sz val="12"/>
        <rFont val="Arial"/>
        <family val="2"/>
      </rPr>
      <t xml:space="preserve">Dieses Jahr </t>
    </r>
  </si>
  <si>
    <r>
      <t xml:space="preserve">im Registerblatt </t>
    </r>
    <r>
      <rPr>
        <b/>
        <sz val="12"/>
        <rFont val="Arial"/>
        <family val="2"/>
      </rPr>
      <t>Strukturentwicklung</t>
    </r>
    <r>
      <rPr>
        <sz val="12"/>
        <rFont val="Arial"/>
        <family val="2"/>
      </rPr>
      <t xml:space="preserve"> werden der Stand und die Veränderungen der Kuhbestände und der Milchleistung in Baden-Württemberg in den letzten Jahrzehnten dargestellt. Ergänzend werden rassespezifische Daten der drei wichtigsten Rassen dargelegt sowie ein Überblick über den Selbstversorgungsgrad bei Vollmich gegeben.</t>
    </r>
  </si>
  <si>
    <r>
      <t>wird automatisch auf alle anderen Seiten der Datei übertragen.</t>
    </r>
    <r>
      <rPr>
        <sz val="12"/>
        <rFont val="Arial"/>
        <family val="2"/>
      </rPr>
      <t xml:space="preserve"> Es braucht und darf also nur einmal eingegeben </t>
    </r>
  </si>
  <si>
    <r>
      <t xml:space="preserve">Mit der vorliegenden EXCEL-Anwendung können sowohl Kalkulationsdaten mit als auch ohne </t>
    </r>
    <r>
      <rPr>
        <b/>
        <sz val="12"/>
        <rFont val="Arial"/>
        <family val="2"/>
      </rPr>
      <t>MwSt.</t>
    </r>
    <r>
      <rPr>
        <sz val="12"/>
        <rFont val="Arial"/>
        <family val="2"/>
      </rPr>
      <t xml:space="preserve"> ermittelt   werden, </t>
    </r>
  </si>
  <si>
    <r>
      <t>Der ermittelte</t>
    </r>
    <r>
      <rPr>
        <b/>
        <sz val="12"/>
        <rFont val="Arial"/>
        <family val="2"/>
      </rPr>
      <t xml:space="preserve"> Düngerwert</t>
    </r>
    <r>
      <rPr>
        <sz val="12"/>
        <rFont val="Arial"/>
        <family val="2"/>
      </rPr>
      <t xml:space="preserve"> wird den Verfahren als Leistung angerechnet.</t>
    </r>
  </si>
  <si>
    <r>
      <t xml:space="preserve">Bei den </t>
    </r>
    <r>
      <rPr>
        <b/>
        <sz val="12"/>
        <rFont val="Arial"/>
        <family val="2"/>
      </rPr>
      <t>Zinssätzen</t>
    </r>
    <r>
      <rPr>
        <sz val="12"/>
        <rFont val="Arial"/>
        <family val="2"/>
      </rPr>
      <t xml:space="preserve"> für das gebundene Kapital kann eine Förderung, wie sie für manche Verfahren möglich ist, </t>
    </r>
  </si>
  <si>
    <r>
      <t xml:space="preserve">Die </t>
    </r>
    <r>
      <rPr>
        <b/>
        <sz val="12"/>
        <rFont val="Arial"/>
        <family val="2"/>
      </rPr>
      <t>Grundfutterkosten</t>
    </r>
    <r>
      <rPr>
        <sz val="12"/>
        <rFont val="Arial"/>
        <family val="2"/>
      </rPr>
      <t xml:space="preserve"> sind als </t>
    </r>
    <r>
      <rPr>
        <b/>
        <sz val="12"/>
        <rFont val="Arial"/>
        <family val="2"/>
      </rPr>
      <t>Vollkosten</t>
    </r>
    <r>
      <rPr>
        <sz val="12"/>
        <rFont val="Arial"/>
        <family val="2"/>
      </rPr>
      <t xml:space="preserve"> angesetzt. Sie beinhalten: variable Kosten, Flächenkosten, </t>
    </r>
  </si>
  <si>
    <r>
      <t xml:space="preserve">Bei den </t>
    </r>
    <r>
      <rPr>
        <b/>
        <sz val="12"/>
        <rFont val="Arial"/>
        <family val="2"/>
      </rPr>
      <t>Festkosten</t>
    </r>
    <r>
      <rPr>
        <sz val="12"/>
        <rFont val="Arial"/>
        <family val="2"/>
      </rPr>
      <t xml:space="preserve"> wird von einer Neubausituation ausgegangen; die Kosten setzen sich zusammen aus den </t>
    </r>
  </si>
  <si>
    <r>
      <t>Der Deckungsbeitrag vor Grundfutter</t>
    </r>
    <r>
      <rPr>
        <sz val="12"/>
        <rFont val="Arial"/>
        <family val="2"/>
      </rPr>
      <t xml:space="preserve"> ist als Kalkulationswert für Betriebsplanungen, wie z. B. mit dem </t>
    </r>
  </si>
  <si>
    <r>
      <t>In einer weiteren Stufe berücksichtigt dieser</t>
    </r>
    <r>
      <rPr>
        <b/>
        <sz val="12"/>
        <rFont val="Arial"/>
        <family val="2"/>
      </rPr>
      <t xml:space="preserve"> Deckungsbeitrag </t>
    </r>
    <r>
      <rPr>
        <sz val="12"/>
        <rFont val="Arial"/>
        <family val="2"/>
      </rPr>
      <t xml:space="preserve"> ggf. auch Ausgleichsleistungen und den </t>
    </r>
  </si>
  <si>
    <r>
      <t xml:space="preserve">Der Deckungsbeitrag  nach Grundfutter </t>
    </r>
    <r>
      <rPr>
        <sz val="12"/>
        <rFont val="Arial"/>
        <family val="2"/>
      </rPr>
      <t xml:space="preserve"> hat diesbezüglich eine noch stärkere Aussagekraft, weil er den z.T. </t>
    </r>
  </si>
  <si>
    <r>
      <t>Das</t>
    </r>
    <r>
      <rPr>
        <b/>
        <sz val="12"/>
        <rFont val="Arial"/>
        <family val="2"/>
      </rPr>
      <t xml:space="preserve"> „Kalkulatorische Betriebszweigergebnis“</t>
    </r>
    <r>
      <rPr>
        <sz val="12"/>
        <rFont val="Arial"/>
        <family val="2"/>
      </rPr>
      <t xml:space="preserve"> (= Unternehmergewinn/-verlust) zeigt das wirtschaftliche Ergebnis, </t>
    </r>
  </si>
  <si>
    <r>
      <t>Die Berücksichtigung</t>
    </r>
    <r>
      <rPr>
        <b/>
        <sz val="12"/>
        <rFont val="Arial"/>
        <family val="2"/>
      </rPr>
      <t xml:space="preserve"> aller</t>
    </r>
    <r>
      <rPr>
        <sz val="12"/>
        <rFont val="Arial"/>
        <family val="2"/>
      </rPr>
      <t xml:space="preserve"> Kostenpositionen (= Vollkostenrechnung) führt häufig zu einem negativen </t>
    </r>
  </si>
  <si>
    <t>Wasserverbrauch: hier Prozesswaser - pauschal nach KTBL_</t>
  </si>
  <si>
    <r>
      <t xml:space="preserve">Der Maßstab Deckungsbeitrag wird - wie erwähnt - bei der </t>
    </r>
    <r>
      <rPr>
        <b/>
        <sz val="12"/>
        <rFont val="Arial"/>
        <family val="2"/>
      </rPr>
      <t>Planung</t>
    </r>
    <r>
      <rPr>
        <sz val="12"/>
        <rFont val="Arial"/>
        <family val="2"/>
      </rPr>
      <t xml:space="preserve"> von Betrieben verwendet.</t>
    </r>
  </si>
  <si>
    <r>
      <t>Für die</t>
    </r>
    <r>
      <rPr>
        <b/>
        <sz val="12"/>
        <rFont val="Arial"/>
        <family val="2"/>
      </rPr>
      <t xml:space="preserve"> Analyse</t>
    </r>
    <r>
      <rPr>
        <sz val="12"/>
        <rFont val="Arial"/>
        <family val="2"/>
      </rPr>
      <t xml:space="preserve"> von Betriebszweigen hat eine von der DLG eingesetzte Arbeitsgruppe eine neue Begriffssystematik  erstellt. Die Einteilung der Kosten erfolgt hier vor allem nach der direkten Zuteilbarkeit.</t>
    </r>
  </si>
  <si>
    <t>Phosphat</t>
  </si>
  <si>
    <t>Kali</t>
  </si>
  <si>
    <r>
      <t xml:space="preserve">Die </t>
    </r>
    <r>
      <rPr>
        <b/>
        <sz val="12"/>
        <rFont val="Arial"/>
        <family val="2"/>
      </rPr>
      <t>Direktkosten</t>
    </r>
    <r>
      <rPr>
        <sz val="12"/>
        <rFont val="Arial"/>
        <family val="2"/>
      </rPr>
      <t xml:space="preserve"> umfassen in der Tierhaltung die Kosten der Bestandsergänzung, Kraftfutter, Tierarzt, Besamung, 
sonstige variable Kosten sowie die Grundfutter(voll)kosten.(einschl. feste Kosten und Lohnansatz)</t>
    </r>
  </si>
  <si>
    <r>
      <t xml:space="preserve">Zieht man die Direktkosten von den Leistungen ab, erhält man die </t>
    </r>
    <r>
      <rPr>
        <b/>
        <sz val="12"/>
        <rFont val="Arial"/>
        <family val="2"/>
      </rPr>
      <t>direktkostenfreie Leistung</t>
    </r>
    <r>
      <rPr>
        <sz val="12"/>
        <rFont val="Arial"/>
        <family val="2"/>
      </rPr>
      <t xml:space="preserve">. </t>
    </r>
  </si>
  <si>
    <t>kg FM</t>
  </si>
  <si>
    <t>Silagefrischmasse bei</t>
  </si>
  <si>
    <t>% TS</t>
  </si>
  <si>
    <t>kg/m³ Raumgewicht</t>
  </si>
  <si>
    <t>Entnahmeleistung:</t>
  </si>
  <si>
    <t>m3 pro Sh</t>
  </si>
  <si>
    <t>€/Sh</t>
  </si>
  <si>
    <t>Liter Diesel pro Sh</t>
  </si>
  <si>
    <t>€/Liter Diesel</t>
  </si>
  <si>
    <t>Schlepperanteil</t>
  </si>
  <si>
    <t>€ pro Sh</t>
  </si>
  <si>
    <t>Mischwagenanteil</t>
  </si>
  <si>
    <t xml:space="preserve">€ pro m3, </t>
  </si>
  <si>
    <t>2x2- reihig, FGM, 2 Gebäude</t>
  </si>
  <si>
    <t>2x3 reihig, FGM, Gülle</t>
  </si>
  <si>
    <t>2x2 reihig, FGM, Gülle</t>
  </si>
  <si>
    <t>2 reihig, FGM, Gülle</t>
  </si>
  <si>
    <t>variable Kosten (Reparaturen) Schlepper, 67 kW,  je Sh</t>
  </si>
  <si>
    <t xml:space="preserve"> =</t>
  </si>
  <si>
    <r>
      <t xml:space="preserve">Um einen Vergleich von Verfahren unterschiedlichen Technisierungsgrades zu ermöglichen, wurde der Kennwert </t>
    </r>
    <r>
      <rPr>
        <b/>
        <sz val="12"/>
        <rFont val="Arial"/>
        <family val="2"/>
      </rPr>
      <t xml:space="preserve"> Arbeitserledigungskosten </t>
    </r>
    <r>
      <rPr>
        <sz val="12"/>
        <rFont val="Arial"/>
        <family val="2"/>
      </rPr>
      <t>geprägt. Er beinhaltet neben den variablen Maschinenkosten auch die Festkosten für stationäre und mobile Technik, variable Lohnarbeitskosten sowie einen Lohnansatz für ständige Arbeitskräfte.</t>
    </r>
  </si>
  <si>
    <r>
      <t xml:space="preserve">Im Registerblatt </t>
    </r>
    <r>
      <rPr>
        <b/>
        <sz val="12"/>
        <rFont val="Arial"/>
        <family val="2"/>
      </rPr>
      <t>Kalkulationshilfen</t>
    </r>
    <r>
      <rPr>
        <sz val="12"/>
        <rFont val="Arial"/>
        <family val="2"/>
      </rPr>
      <t xml:space="preserve"> werden ergänzende Daten zum Futterbedarf, den Baukosten und dem
Akh-Bedarf dargelegt.</t>
    </r>
  </si>
  <si>
    <r>
      <t>·</t>
    </r>
    <r>
      <rPr>
        <sz val="12"/>
        <rFont val="Arial"/>
        <family val="2"/>
      </rPr>
      <t xml:space="preserve"> „Stammdaten“</t>
    </r>
  </si>
  <si>
    <r>
      <t xml:space="preserve">· </t>
    </r>
    <r>
      <rPr>
        <sz val="12"/>
        <rFont val="Arial"/>
        <family val="2"/>
      </rPr>
      <t xml:space="preserve">„Preise“ </t>
    </r>
  </si>
  <si>
    <r>
      <t>·</t>
    </r>
    <r>
      <rPr>
        <sz val="12"/>
        <rFont val="Arial"/>
        <family val="2"/>
      </rPr>
      <t xml:space="preserve"> „Ausgleichsleistungen“</t>
    </r>
  </si>
  <si>
    <t>erhaltung der Tierhaltung möglich. Als Einkommen stehen sie den Betrieben natürlich dennoch zur Verfügung.</t>
  </si>
  <si>
    <t>Die vorgeschlagenen Daten in den hellgelben Feldern können variiert werden  (z. B. Tierarztkosten, Arbeitszeitbedarf).</t>
  </si>
  <si>
    <t>da sie in den Kosten des Grundfutters bereits berücksichtigt werden.</t>
  </si>
  <si>
    <t>gehandelte Mengen (Bad. Württ.) kg</t>
  </si>
  <si>
    <t>erfolgreiche Anbieter</t>
  </si>
  <si>
    <t>erfolgreiche Käufer</t>
  </si>
  <si>
    <t>Gebietssaldo</t>
  </si>
  <si>
    <t xml:space="preserve">nicht für die konkrete einzelbetriebliche Planung verwendet werden. Hier ist nach wie vor die </t>
  </si>
  <si>
    <t>Festkostenänderung bei einer Änderung des Produktionsumfanges.</t>
  </si>
  <si>
    <r>
      <t>Folienseite 1 - 2:</t>
    </r>
    <r>
      <rPr>
        <sz val="12"/>
        <rFont val="Arial"/>
        <family val="2"/>
      </rPr>
      <t xml:space="preserve">  es  werden die wichtigsten Kostenpositionen, der Deckungsbeitrag </t>
    </r>
  </si>
  <si>
    <r>
      <t xml:space="preserve">Folienseite 1 - 4: </t>
    </r>
    <r>
      <rPr>
        <sz val="12"/>
        <rFont val="Arial"/>
        <family val="2"/>
      </rPr>
      <t xml:space="preserve"> es  werden die wichtigsten Kostenpositionen, der Deckungsbeitrag sowie das kalkulatorische </t>
    </r>
  </si>
  <si>
    <t>Aufzuchtdauer</t>
  </si>
  <si>
    <t>Energiebedarf</t>
  </si>
  <si>
    <r>
      <t xml:space="preserve">Ferner  wird der </t>
    </r>
    <r>
      <rPr>
        <b/>
        <sz val="12"/>
        <rFont val="Arial"/>
        <family val="2"/>
      </rPr>
      <t xml:space="preserve">erforderliche Erlös (Produktionsschwelle) </t>
    </r>
    <r>
      <rPr>
        <sz val="12"/>
        <rFont val="Arial"/>
        <family val="2"/>
      </rPr>
      <t xml:space="preserve"> je kg Milch  im langfristigen Betrachtungszeitraum </t>
    </r>
  </si>
  <si>
    <r>
      <t>Folienseite 3:</t>
    </r>
    <r>
      <rPr>
        <sz val="12"/>
        <rFont val="Arial"/>
        <family val="2"/>
      </rPr>
      <t xml:space="preserve">  Dargestellt wird die</t>
    </r>
    <r>
      <rPr>
        <b/>
        <sz val="12"/>
        <rFont val="Arial"/>
        <family val="2"/>
      </rPr>
      <t xml:space="preserve"> Verwertung  der Arbeit</t>
    </r>
    <r>
      <rPr>
        <sz val="12"/>
        <rFont val="Arial"/>
        <family val="2"/>
      </rPr>
      <t xml:space="preserve"> (erzielbarer Stundenlohn), </t>
    </r>
    <r>
      <rPr>
        <b/>
        <sz val="12"/>
        <rFont val="Arial"/>
        <family val="2"/>
      </rPr>
      <t>des Stallplatzes</t>
    </r>
    <r>
      <rPr>
        <sz val="12"/>
        <rFont val="Arial"/>
        <family val="2"/>
      </rPr>
      <t xml:space="preserve"> (max. </t>
    </r>
  </si>
  <si>
    <t>allg. Herdenmanagement</t>
  </si>
  <si>
    <r>
      <t>Ferner wird der</t>
    </r>
    <r>
      <rPr>
        <b/>
        <sz val="12"/>
        <rFont val="Arial"/>
        <family val="2"/>
      </rPr>
      <t xml:space="preserve"> erforderliche Erlös (Produktionsschwelle) </t>
    </r>
    <r>
      <rPr>
        <sz val="12"/>
        <rFont val="Arial"/>
        <family val="2"/>
      </rPr>
      <t xml:space="preserve"> je erzeugter Färse  im langfristigen </t>
    </r>
  </si>
  <si>
    <r>
      <t xml:space="preserve">Folienseite 4: </t>
    </r>
    <r>
      <rPr>
        <sz val="12"/>
        <rFont val="Arial"/>
        <family val="2"/>
      </rPr>
      <t xml:space="preserve">Dargestellt wird die Verwertung der Arbeit (erreichter Stundenlohn)  bei mittelfristiger Betrachtung d.h. </t>
    </r>
  </si>
  <si>
    <r>
      <t>Milchkuh - Zuchtsau ).</t>
    </r>
    <r>
      <rPr>
        <b/>
        <sz val="12"/>
        <rFont val="Arial"/>
        <family val="2"/>
      </rPr>
      <t xml:space="preserve"> Er ist damit der geeignetste Maßstab für die langfristige relative Wetbewerbsfähigkeit.</t>
    </r>
  </si>
  <si>
    <r>
      <t xml:space="preserve">· die </t>
    </r>
    <r>
      <rPr>
        <b/>
        <sz val="12"/>
        <rFont val="Arial"/>
        <family val="2"/>
      </rPr>
      <t>„Seite (...a)“</t>
    </r>
    <r>
      <rPr>
        <sz val="12"/>
        <rFont val="Arial"/>
        <family val="2"/>
      </rPr>
      <t xml:space="preserve"> mit den Berechnungsgrundlagen, d.h. den jeweiligen produktionstechnischen Annahmen </t>
    </r>
  </si>
  <si>
    <r>
      <t>· die „</t>
    </r>
    <r>
      <rPr>
        <b/>
        <sz val="12"/>
        <rFont val="Arial"/>
        <family val="2"/>
      </rPr>
      <t>Seite (...b)“</t>
    </r>
    <r>
      <rPr>
        <sz val="12"/>
        <rFont val="Arial"/>
        <family val="2"/>
      </rPr>
      <t xml:space="preserve"> mit den Ergebnissen der Kostenrechnung</t>
    </r>
  </si>
  <si>
    <r>
      <t>· die „</t>
    </r>
    <r>
      <rPr>
        <b/>
        <sz val="12"/>
        <rFont val="Arial"/>
        <family val="2"/>
      </rPr>
      <t>Seite (...Fol)“</t>
    </r>
    <r>
      <rPr>
        <sz val="12"/>
        <rFont val="Arial"/>
        <family val="2"/>
      </rPr>
      <t xml:space="preserve"> die die wichtigsten Kennzahlen in Form von Folienvorlagen darstellen.</t>
    </r>
  </si>
  <si>
    <t>Maschinenfestkosten, Kosten des Lagerraumes, sonstige Festkosten und die Kosten der Arbeit (Lohnansatz).</t>
  </si>
  <si>
    <t>ha-Anteil</t>
  </si>
  <si>
    <t>10 MJ NEL/ha</t>
  </si>
  <si>
    <t>(AKh Tierhaltung + Akh-Futterbau)</t>
  </si>
  <si>
    <t>Durchschnittspreis für Ba. Wü.,hier: männl..;ZMP-Kammerprogramm, Nutzkälber,  "Preise bis 14 Tage"</t>
  </si>
  <si>
    <t>Anlehnung an Notierungspreise männl. u. weibl. Kälber (75kg),Ermittlung vom 75 kg-Preis (Nutzkälber) Prozentual vom 75 kg -Preis Verhältnis männlich zu weiblich bezogen au männliches 14-Tage Tier</t>
  </si>
  <si>
    <t>sb</t>
  </si>
  <si>
    <t>männl.</t>
  </si>
  <si>
    <t>flv</t>
  </si>
  <si>
    <t>bv</t>
  </si>
  <si>
    <t>weibl.</t>
  </si>
  <si>
    <t>Braunvieh zu fleckviehbullenkälber = 51 %</t>
  </si>
  <si>
    <t>Braunvieh zu Fleckviehkuhkälber = 55 %</t>
  </si>
  <si>
    <t>schwarzbunt weiblich zu schwarzbuntmännlich = 53%</t>
  </si>
  <si>
    <t>weiblich = 53 % von männlich, gerundet</t>
  </si>
  <si>
    <t>Braunvieh: 51 % der Fleckviehpreise, gerundet</t>
  </si>
  <si>
    <t>Braunvieh weblich = 71 % von Braunvieh männlich</t>
  </si>
  <si>
    <t>Formel!</t>
  </si>
  <si>
    <t>Rindcash - Expertenbefragung</t>
  </si>
  <si>
    <t>Braunvieh weiblich zu Braunviehmännlich =</t>
  </si>
  <si>
    <t xml:space="preserve">Notierungspreise nicht vorhanden; Ermittlung vom 75 kg-Preis (Nutzkälber) abzgl. 105,- € Aufzuchtkosten (inclusiv Arbeit), gerundet  </t>
  </si>
  <si>
    <t>Zur Orientierung kann auf die Kalkulationsdaten Futterbau zurückgegriffen werden.</t>
  </si>
  <si>
    <t xml:space="preserve">Abschreibungen, Zinsansatz und Unterhaltungskosten für die Gebäude, die stationäre Technik  (Melktechnik, Lüftung, </t>
  </si>
  <si>
    <t xml:space="preserve">Güllepumpe) und die mobile Technik ( Futtervorlage ). Die Kosten der Grundfutterlagerung sind hier nicht enthalten, </t>
  </si>
  <si>
    <t>Programm LEL-Plan, zu verwenden.</t>
  </si>
  <si>
    <t xml:space="preserve">Zinsanspruch für das Vieh- und Umlaufvermögen und ist damit ein besserer Maßstab für die relative </t>
  </si>
  <si>
    <t>Wettbewerbskraft des Verfahrens.</t>
  </si>
  <si>
    <t>unterschiedlichen Grundfutterbedarf  verschiedener Leistungsniveaus berücksichtigt.</t>
  </si>
  <si>
    <t>AKh bzw. €/ Einh.</t>
  </si>
  <si>
    <t>Berechnung des Stallplatzbedarfs pro erzeugte  Einheit</t>
  </si>
  <si>
    <t>1980  (687.596)</t>
  </si>
  <si>
    <t>2007  (362.212)</t>
  </si>
  <si>
    <t>1980  (74.502)</t>
  </si>
  <si>
    <t>2007  (12.698)</t>
  </si>
  <si>
    <r>
      <t>Kurzfristige Betrachtung</t>
    </r>
    <r>
      <rPr>
        <sz val="13"/>
        <rFont val="Arial"/>
        <family val="2"/>
      </rPr>
      <t xml:space="preserve"> (nur kurzfristig variable Faktoren zu entlohnen)</t>
    </r>
  </si>
  <si>
    <t>(in Tierhaltung einschl. Futterbau)</t>
  </si>
  <si>
    <t xml:space="preserve">€/Akh </t>
  </si>
  <si>
    <t>Arbeitserledigungskosten (o. Fubau)</t>
  </si>
  <si>
    <t>Z.14+Z.23+Z.25+Z.26</t>
  </si>
  <si>
    <t xml:space="preserve">Die bis zum Jahre 2004 gewährten EU - Ausgleichsleistungen wurden ab dem Jahr 2005 entkoppelt. Die Einlösung </t>
  </si>
  <si>
    <r>
      <t xml:space="preserve">Die Vollkostenrechnung kann also </t>
    </r>
    <r>
      <rPr>
        <b/>
        <sz val="12"/>
        <rFont val="Arial"/>
        <family val="2"/>
      </rPr>
      <t>nicht</t>
    </r>
    <r>
      <rPr>
        <sz val="12"/>
        <rFont val="Arial"/>
        <family val="2"/>
      </rPr>
      <t xml:space="preserve"> als Entscheidungshilfe für die Weiterführung oder Aufgabe eines </t>
    </r>
  </si>
  <si>
    <t xml:space="preserve">Nutzungsalternativen für Gebäude und Arbeit die Produktion noch aufrecht erhalten wird bzw. welche Entlohnung der Arbeit </t>
  </si>
  <si>
    <t>hierbei noch stattfindet. Diese Kennwerte sind also vor allem für kurz- und mittelfristig auslaufende Betriebe von Bedeutung.</t>
  </si>
  <si>
    <t xml:space="preserve">wenn alle eingesetzten Faktoren voll entlohnt werden. D.h. es wird </t>
  </si>
  <si>
    <t>· das gesamte eingesetzte Kapital (Eigen- und Fremdkapital) verzinst</t>
  </si>
  <si>
    <r>
      <t xml:space="preserve">Grundfutterbedarf:  in Anlehnung an  KTBL-Datensammlung Betriebsplanung Landwirtschaft 2008/2009; S. 548; </t>
    </r>
    <r>
      <rPr>
        <b/>
        <sz val="12"/>
        <color indexed="10"/>
        <rFont val="Arial"/>
        <family val="2"/>
      </rPr>
      <t>ab 125 kg LG</t>
    </r>
  </si>
  <si>
    <t xml:space="preserve">· die gesamte Fläche (Eigen- und Pachtfläche) entlohnt (bei der Ermittlung der hier zugrundeliegenden </t>
  </si>
  <si>
    <t>Grundfuttervollkosten)</t>
  </si>
  <si>
    <t>· die eingesetzten Arbeitsstunden werden mit einem Lohnansatz voll entlohnt</t>
  </si>
  <si>
    <t>kalkulatorischen Betriebszweigergebnis (= Unternehmerverlust). Dies bedeutet nichts anderes als die bekannte</t>
  </si>
  <si>
    <t>+</t>
  </si>
  <si>
    <t>Aufzuchtfärse</t>
  </si>
  <si>
    <t>Milchleistung  / EKA-Färse</t>
  </si>
  <si>
    <t>Deckungsbeiträge in der Milchviehhaltung  sowie der Färsenaufzucht im Jahr</t>
  </si>
  <si>
    <t>€/Platz</t>
  </si>
  <si>
    <t>Erst-und Viertbesamung</t>
  </si>
  <si>
    <t>bis 10 km</t>
  </si>
  <si>
    <t>über 10 km</t>
  </si>
  <si>
    <t>Nachbesamung</t>
  </si>
  <si>
    <t>Sonntags-u. Weidebesamung</t>
  </si>
  <si>
    <r>
      <t xml:space="preserve">Tabelle- Gebühren für die </t>
    </r>
    <r>
      <rPr>
        <b/>
        <sz val="12"/>
        <rFont val="Arial"/>
        <family val="2"/>
      </rPr>
      <t>Verrichtung</t>
    </r>
    <r>
      <rPr>
        <sz val="12"/>
        <rFont val="Arial"/>
        <family val="2"/>
      </rPr>
      <t xml:space="preserve"> der Besamung; lt. RBW /12/01 in €</t>
    </r>
  </si>
  <si>
    <t>Kosten von Kälberaufzuchtverfahren</t>
  </si>
  <si>
    <t>75 - 125 kg</t>
  </si>
  <si>
    <t>45 - 125 kg</t>
  </si>
  <si>
    <t>Tränkeverfahren:</t>
  </si>
  <si>
    <t>konventionell</t>
  </si>
  <si>
    <t>Frühentw.</t>
  </si>
  <si>
    <t>konventionell-viel Vollmilch</t>
  </si>
  <si>
    <t>Futterkosten ( inkl. Mwst. )</t>
  </si>
  <si>
    <t>MAT</t>
  </si>
  <si>
    <t>Aufzuchtfutter zugek.</t>
  </si>
  <si>
    <t>eigene Mischung</t>
  </si>
  <si>
    <t>Heu</t>
  </si>
  <si>
    <t>variable Kosten :</t>
  </si>
  <si>
    <t>Tierarzt, Medik., Desinf.</t>
  </si>
  <si>
    <r>
      <t xml:space="preserve">Getreide </t>
    </r>
    <r>
      <rPr>
        <vertAlign val="superscript"/>
        <sz val="12"/>
        <rFont val="Arial"/>
        <family val="2"/>
      </rPr>
      <t>1)</t>
    </r>
  </si>
  <si>
    <r>
      <t xml:space="preserve">erforderliche Anzahl </t>
    </r>
    <r>
      <rPr>
        <b/>
        <sz val="10"/>
        <rFont val="Arial Narrow"/>
        <family val="2"/>
      </rPr>
      <t>Jungviehplätze</t>
    </r>
    <r>
      <rPr>
        <sz val="10"/>
        <rFont val="Arial Narrow"/>
        <family val="2"/>
      </rPr>
      <t>,</t>
    </r>
    <r>
      <rPr>
        <u/>
        <sz val="10"/>
        <rFont val="Arial Narrow"/>
        <family val="2"/>
      </rPr>
      <t xml:space="preserve"> alle</t>
    </r>
    <r>
      <rPr>
        <sz val="10"/>
        <rFont val="Arial Narrow"/>
        <family val="2"/>
      </rPr>
      <t xml:space="preserve"> ♀-Kälber sind aufgestallt; (kontinuierliche Abkalbungen)</t>
    </r>
  </si>
  <si>
    <t xml:space="preserve">E.Sonstiges: </t>
  </si>
  <si>
    <t>Energie, Wasser, Masch., Geräte</t>
  </si>
  <si>
    <t>Tierseuchenkasse, Versich., Verluste</t>
  </si>
  <si>
    <t xml:space="preserve">Vollmilch </t>
  </si>
  <si>
    <t>c): 4-seitige Folienvorlage</t>
  </si>
  <si>
    <t>Vollmilch</t>
  </si>
  <si>
    <t>Milchaustauscher</t>
  </si>
  <si>
    <t>ab 01.01.2011: Korrekturwert: Fett = 2,7 Cent pro %;    Eiweiß: 4,1 Cent pro %</t>
  </si>
  <si>
    <t>Cent</t>
  </si>
  <si>
    <t>Kälberaufzuchtfutter</t>
  </si>
  <si>
    <t>Kälberheu</t>
  </si>
  <si>
    <t>(klick auf Stern: zurück  nach oben !)</t>
  </si>
  <si>
    <r>
      <t>Verf. 3</t>
    </r>
    <r>
      <rPr>
        <sz val="11"/>
        <rFont val="Arial"/>
        <family val="2"/>
      </rPr>
      <t xml:space="preserve"> (..............)</t>
    </r>
  </si>
  <si>
    <t>Kalkulationsdaten Milchviehhaltung und Färsenaufzucht</t>
  </si>
  <si>
    <t>Festkosten Milchvieh (Gebäude, Technik, Milchreferenzmenge)</t>
  </si>
  <si>
    <t>Festkosten Jungvieh (Gebäude, Technik)</t>
  </si>
  <si>
    <t xml:space="preserve">ZV-Beitrag, Beratung </t>
  </si>
  <si>
    <t>z.B. Ohrmarken</t>
  </si>
  <si>
    <t>in Großvieheinheiten (Sollten sich beim GV-Schlüssel noch Änderungen                         (Grundlage der Berechnung sind alle vorhandenen Stallpätze. Der durchschnittlich gehaltene Tierbestand</t>
  </si>
  <si>
    <t>http://www.ktbl.de</t>
  </si>
  <si>
    <t>ergeben, wird die Berechnung behördlicherseits entsprechend abgeändert.)                       ist nicht Grundlage dieser Berechnung)</t>
  </si>
  <si>
    <t>(1 Großvieheinheit (GV) = 500 kg Tierlebendmasse)</t>
  </si>
  <si>
    <t>Stall 1</t>
  </si>
  <si>
    <t>Stall 2</t>
  </si>
  <si>
    <t>Stall 3</t>
  </si>
  <si>
    <t>Stall 4</t>
  </si>
  <si>
    <t xml:space="preserve">Gesamt Betrieb </t>
  </si>
  <si>
    <t>Tierplätze</t>
  </si>
  <si>
    <t xml:space="preserve">GV </t>
  </si>
  <si>
    <t xml:space="preserve">Tierplätze </t>
  </si>
  <si>
    <t xml:space="preserve">Schweine </t>
  </si>
  <si>
    <t>Tragende und leere Sauen, Eber</t>
  </si>
  <si>
    <t xml:space="preserve">Sauen mit Ferkeln bis 10 kg </t>
  </si>
  <si>
    <t>Ferkelaufzucht (7 bis 25 kg, Durchschnitt 15 kg)</t>
  </si>
  <si>
    <t>Ferkelaufzucht (10 bis 30 kg, Durchschnitt 20 kg)</t>
  </si>
  <si>
    <t>Jungsauen (30 bis 90 kg, Durchschnitt 60 kg)</t>
  </si>
  <si>
    <t>Mastschweine (25 bis 105 kg, Durchschnitt 60 kg)</t>
  </si>
  <si>
    <t>Mastschweine (30 bis 120 kg, Durchschnitt 75 kg)</t>
  </si>
  <si>
    <t>Geflügel</t>
  </si>
  <si>
    <t>Legehennen braun (Durchschnitt 2 kg)</t>
  </si>
  <si>
    <t>Legehennen weiß (Durchschnitt 1,7 kg)</t>
  </si>
  <si>
    <t>Junghennen braun oder weiß (Durchschnitt 0,7 kg)</t>
  </si>
  <si>
    <t>Summe Kraftfutter</t>
  </si>
  <si>
    <t>Trockensubstanz KF</t>
  </si>
  <si>
    <t>Energiedichte</t>
  </si>
  <si>
    <t xml:space="preserve">Wasserverbrauch bei </t>
  </si>
  <si>
    <t>kg Wasser/kg TS</t>
  </si>
  <si>
    <t>m3</t>
  </si>
  <si>
    <t>Masthähnchen Kurzmast 35 Tage (Durchschnitt 0,75 kg)</t>
  </si>
  <si>
    <t>Masthähnchen Langmast 49 Tage (Durchschnitt 1,4 kg)</t>
  </si>
  <si>
    <t>Pekingenten (Durchschnitt 1,5 kg)</t>
  </si>
  <si>
    <t>Leistungen</t>
  </si>
  <si>
    <t>variable Kosten</t>
  </si>
  <si>
    <t>dt/Mon</t>
  </si>
  <si>
    <r>
      <t>Arbeitszeitbedarf</t>
    </r>
    <r>
      <rPr>
        <sz val="13"/>
        <rFont val="Arial"/>
        <family val="2"/>
      </rPr>
      <t xml:space="preserve"> </t>
    </r>
    <r>
      <rPr>
        <sz val="12"/>
        <rFont val="Arial"/>
        <family val="2"/>
      </rPr>
      <t>(ständige AK, ohne Fu-bau)</t>
    </r>
  </si>
  <si>
    <t>Flugenten (Durchschnitt 2,1 kg)</t>
  </si>
  <si>
    <t>Putenhennen (Durchschnitt 4,25 kg)</t>
  </si>
  <si>
    <t>Putenhähne (Durchschnitt 8,2 kg)</t>
  </si>
  <si>
    <t>Putenaufzucht (Durchschnitt 1,1 kg)</t>
  </si>
  <si>
    <t>Kühe und Rinder über 2 Jahre</t>
  </si>
  <si>
    <t>Rinder 1 bis 2 Jahre (Mast)</t>
  </si>
  <si>
    <t xml:space="preserve">Weibl. Jungvieh 1 bis 2 Jahre </t>
  </si>
  <si>
    <t>Jungvieh- u. Kälberaufzucht unter 1 Jahr</t>
  </si>
  <si>
    <t xml:space="preserve">Mastkälber </t>
  </si>
  <si>
    <t xml:space="preserve">weitere Nutztiere </t>
  </si>
  <si>
    <t xml:space="preserve">GV je 
Tierplatz </t>
  </si>
  <si>
    <t xml:space="preserve">Tierart </t>
  </si>
  <si>
    <t>Gülleausbringung - Lohnuntern.</t>
  </si>
  <si>
    <t xml:space="preserve">Faktoren zur Umrechnung von Tierplatzzahlen                                                                      Angaben über Tierplätze und Berechnung der Großvieheinheiten (GV) </t>
  </si>
  <si>
    <r>
      <t>Sonstige variable Kosten</t>
    </r>
    <r>
      <rPr>
        <sz val="14"/>
        <rFont val="Arial"/>
        <family val="2"/>
      </rPr>
      <t xml:space="preserve"> </t>
    </r>
  </si>
  <si>
    <t>Besamung,Deckgeld</t>
  </si>
  <si>
    <t>GVE-Schlüssel BImSch,  vorläufig</t>
  </si>
  <si>
    <t>i</t>
  </si>
  <si>
    <t>zurück</t>
  </si>
  <si>
    <t>F</t>
  </si>
  <si>
    <t>Kalbphase:Heu:0,7 dt</t>
  </si>
  <si>
    <t>Summe Grundfutter = 100%</t>
  </si>
  <si>
    <t>330 MJ NEL</t>
  </si>
  <si>
    <t>Ersparnis Grundfutter wg. Kraftfutter : 727 MJ NEL je dt KF !!</t>
  </si>
  <si>
    <t>Tränkeautomat</t>
  </si>
  <si>
    <t>Güllerührwerk-Anteil</t>
  </si>
  <si>
    <t>nichtlandwirtschaftlicher Herkunft  ( Regelsteuersatz)</t>
  </si>
  <si>
    <t xml:space="preserve">Zucht-Kalbin, (FlV, Sbt, BrV) </t>
  </si>
  <si>
    <t>♂</t>
  </si>
  <si>
    <t>Mast ♀</t>
  </si>
  <si>
    <t>Verweildauer männl. Kälber bis ca.</t>
  </si>
  <si>
    <t>Index-Hilfsmatrix</t>
  </si>
  <si>
    <t>♀-Zucht</t>
  </si>
  <si>
    <t>♀- Mast</t>
  </si>
  <si>
    <t>Kleegras, Grünfutter</t>
  </si>
  <si>
    <t>Zuchtkalb, alle Rassen, 14 Tage</t>
  </si>
  <si>
    <t>aufgezogene Kälber je Kuh</t>
  </si>
  <si>
    <t>Arbeitskosten</t>
  </si>
  <si>
    <t>Anteil  (in % der TM-Grundfutter)</t>
  </si>
  <si>
    <t>Anteil (in % der TM-Grundfutter)</t>
  </si>
  <si>
    <t>€/10 MJNEL</t>
  </si>
  <si>
    <t>ausgewählte Grundfutter-Nr. und Text</t>
  </si>
  <si>
    <t>Preis je 10 MJNEL</t>
  </si>
  <si>
    <t>Milchviehhaltung + Färsenaufzucht</t>
  </si>
  <si>
    <t>Methananfall Rindergülle:</t>
  </si>
  <si>
    <t>m3 - Methan je m3 - Gülle</t>
  </si>
  <si>
    <t xml:space="preserve">Umtriebe/ Jahr und Stallplatz </t>
  </si>
  <si>
    <t>Stallplätze</t>
  </si>
  <si>
    <t>Pl./Einh.</t>
  </si>
  <si>
    <t>Kostendeckender Erlös für</t>
  </si>
  <si>
    <t xml:space="preserve"> €/Einh.</t>
  </si>
  <si>
    <t>Kalbphase</t>
  </si>
  <si>
    <t>Monat</t>
  </si>
  <si>
    <t xml:space="preserve">Frühentwöhnung, Festmist, durchschnittlicher Kälberbestand = 12 Stück; der tgl. Arbeitszeitbedarf </t>
  </si>
  <si>
    <t xml:space="preserve">beträgt  gegenüber herkömmlichem Tränkeverfahren ca. </t>
  </si>
  <si>
    <t>Arbeitszeitbedarf pro Kalb und Tag: ca.</t>
  </si>
  <si>
    <t>Akmin/Kalb u. Tag</t>
  </si>
  <si>
    <t>Akh</t>
  </si>
  <si>
    <t xml:space="preserve">Stallhaltung </t>
  </si>
  <si>
    <t xml:space="preserve">Weidehaltung </t>
  </si>
  <si>
    <t>Tage  =</t>
  </si>
  <si>
    <t>EKA-Monate</t>
  </si>
  <si>
    <t xml:space="preserve">Grassil. </t>
  </si>
  <si>
    <t>AKh/ha</t>
  </si>
  <si>
    <t>GF-Bedarf (10 MJ NEL)</t>
  </si>
  <si>
    <t>Ertrag 10 MJ NEL/ha</t>
  </si>
  <si>
    <t>Summe Akh</t>
  </si>
  <si>
    <t>Ertrag 10 MJ NEL / Akh</t>
  </si>
  <si>
    <t xml:space="preserve">Arbeitszeitbedarf in der Färsenaufzucht </t>
  </si>
  <si>
    <t>EKA in Monaten</t>
  </si>
  <si>
    <t>Kälber bis 0,5 Jahre</t>
  </si>
  <si>
    <t>Rinder 0,5 bis 1 Jahr</t>
  </si>
  <si>
    <t>Rinder 1 bis 2 Jahre</t>
  </si>
  <si>
    <t>Rinder über 2 Jahre</t>
  </si>
  <si>
    <t>H</t>
  </si>
  <si>
    <t>zurück zur Zeile AKh-Bedarf</t>
  </si>
  <si>
    <t>zurück zur Zeile Grundfutterbedarf</t>
  </si>
  <si>
    <t>&lt;-----zurück zur Zeile Tierarzt.....</t>
  </si>
  <si>
    <t>Quelle: Kalk.daten Fu-bau 2002</t>
  </si>
  <si>
    <t>Akmin/Tier u.T.</t>
  </si>
  <si>
    <t>eig. Annahme</t>
  </si>
  <si>
    <t>KTBL-TB.</t>
  </si>
  <si>
    <t>davon Weidehaltung</t>
  </si>
  <si>
    <t>davon Stallhaltung</t>
  </si>
  <si>
    <t>20 Einheiten, ca. 40-50 Tiere</t>
  </si>
  <si>
    <t>insgesamt</t>
  </si>
  <si>
    <t>Gesamtenergieverbrauch in MJ ME</t>
  </si>
  <si>
    <t>Differenz je 3 Monate</t>
  </si>
  <si>
    <t>Abkalbealter</t>
  </si>
  <si>
    <t>entsprechender Verbrauch für .......Monate</t>
  </si>
  <si>
    <t>davon Kraftfutter</t>
  </si>
  <si>
    <t xml:space="preserve">(Umrechnungsfaktor </t>
  </si>
  <si>
    <t>)</t>
  </si>
  <si>
    <t>MJ ME</t>
  </si>
  <si>
    <t>MJ ME/dt</t>
  </si>
  <si>
    <t>MJ NEL</t>
  </si>
  <si>
    <t>EKA / Monate</t>
  </si>
  <si>
    <t>Zinsansatz (für Vieh- u. Umlaufvermögen)</t>
  </si>
  <si>
    <t xml:space="preserve">vgl. Info-dienst landw. Bauen, "Landw. Betriebsgebäude" 1997, Verlag Heinze, S. 170: </t>
  </si>
  <si>
    <t>Kälber bis 4 Wochen: bei kontinuierlicher Abkalbung:Kuhzahl x 1,5 = 100% Sicherheitszuschlag; 5. Bis 15. Mon: 25% Sicherheitszuschlag</t>
  </si>
  <si>
    <t>20 – 49</t>
  </si>
  <si>
    <t>50 – 99</t>
  </si>
  <si>
    <t>100 u. mehr</t>
  </si>
  <si>
    <t xml:space="preserve">Nutzungsdauer </t>
  </si>
  <si>
    <t>Differenz je Monat</t>
  </si>
  <si>
    <t>SUMME</t>
  </si>
  <si>
    <r>
      <t xml:space="preserve">Stall u. stat. Technik </t>
    </r>
    <r>
      <rPr>
        <sz val="10"/>
        <rFont val="Arial"/>
        <family val="2"/>
      </rPr>
      <t>(= max.Kosten / Jahr)</t>
    </r>
  </si>
  <si>
    <r>
      <t>Stall u. stat. Technik</t>
    </r>
    <r>
      <rPr>
        <sz val="13"/>
        <rFont val="Arial"/>
        <family val="2"/>
      </rPr>
      <t xml:space="preserve"> </t>
    </r>
    <r>
      <rPr>
        <sz val="10"/>
        <rFont val="Arial"/>
        <family val="2"/>
      </rPr>
      <t>(=max.Kosten / Jahr)</t>
    </r>
  </si>
  <si>
    <t>Z.9+Z10+Z.11+Z.12+Z.13+Z.18+Z.20</t>
  </si>
  <si>
    <t>kg Wasser/kg Futter-TS</t>
  </si>
  <si>
    <t xml:space="preserve">wurden alle geschätzt. Es handelt sich jeweils um Nettopreise ohne MwSt., in der Spalte „Aktuell“ um die Werte für </t>
  </si>
  <si>
    <t>Deckungsbeitrag</t>
  </si>
  <si>
    <t>intern:  Überprüfung der Schlachtgewichte und Erlöse anhand der Schlachtstatistik</t>
  </si>
  <si>
    <t xml:space="preserve">Bestandsergänzung </t>
  </si>
  <si>
    <t>Direktkosten</t>
  </si>
  <si>
    <t>Arbeitszeitbedarf (ständige AK) - Futterbau</t>
  </si>
  <si>
    <t>Ertragsniveau</t>
  </si>
  <si>
    <r>
      <t>Grundfutter:</t>
    </r>
    <r>
      <rPr>
        <b/>
        <vertAlign val="superscript"/>
        <sz val="12"/>
        <rFont val="Arial"/>
        <family val="2"/>
      </rPr>
      <t>2)</t>
    </r>
  </si>
  <si>
    <t>Milchkuh</t>
  </si>
  <si>
    <t>Färse(Fol)</t>
  </si>
  <si>
    <t>b. ) .......................</t>
  </si>
  <si>
    <t>c. ) .......................</t>
  </si>
  <si>
    <t xml:space="preserve">und Färsenaufzucht </t>
  </si>
  <si>
    <t>Werte erhöht, KTBL geht von einem Ø -lichen Abkalbe-bzw. Verkaufsgewicht von nur 540 kg aus.</t>
  </si>
  <si>
    <t>Dabei stehen i. d. R. die folgenden Fragen im Vordergrund:</t>
  </si>
  <si>
    <t xml:space="preserve">    spezifische Regelungen für tierärztliche Leistungen: 7 - 19%; </t>
  </si>
  <si>
    <t>a) Wie wirkt sich ein unterschiedliches Leistungsniveau auf die Wirtschaftlichkeit aus?</t>
  </si>
  <si>
    <t>b) Wie wirkt sich eine Veränderung der Rahmenbedingungen (Preise, Ausgleichszahlungen) auf die Verfahren aus?</t>
  </si>
  <si>
    <t>Bei a) geht es vor allem darum,</t>
  </si>
  <si>
    <t>· geeignete Werte für Betriebsplanung, Gutachten etc. zu erhalten</t>
  </si>
  <si>
    <t>· die Bedeutung des Leistungsniveaus zur Einkommenssteigerung zu verdeutlichen</t>
  </si>
  <si>
    <t>Interventionspreise / Marktordnungspreise</t>
  </si>
  <si>
    <t xml:space="preserve">Mit den vorliegenden Kalkulationsdaten wird man beiden Fragestellungen gerecht. Sie können zudem von </t>
  </si>
  <si>
    <t>Die Übersicht zeigt schematisch den Aufbau der „Kalkulationsdaten“.</t>
  </si>
  <si>
    <t>Es folgen für jedes Produktionsverfahren 3 Seiten, nämlich:</t>
  </si>
  <si>
    <t>der Verfahren</t>
  </si>
  <si>
    <t>Kuhbestand</t>
  </si>
  <si>
    <t>Milchleistung je Kuh</t>
  </si>
  <si>
    <t xml:space="preserve">   + variable Kosten einschl. Zinsansatz</t>
  </si>
  <si>
    <t xml:space="preserve">   + variable Grundfutterkosten</t>
  </si>
  <si>
    <t xml:space="preserve">   - abzgl. Neben- u. Ausgleichsleistungen</t>
  </si>
  <si>
    <t xml:space="preserve">   = Kostendeckender Erlös für Hauptprodukt kurzfristig</t>
  </si>
  <si>
    <t>Akh / €</t>
  </si>
  <si>
    <t>variable Grundfutterkosten:</t>
  </si>
  <si>
    <t>Arbeits-zeitbedarf/-kosten Tiere:</t>
  </si>
  <si>
    <t>Arbeits-zeitbedarf /-kosten Grundfutter:</t>
  </si>
  <si>
    <t>Arbeits-zeitbedarf/-kosten insges.; Tier+Gru-fu.:</t>
  </si>
  <si>
    <t>Tierarzt, Med.,Klauenpflege</t>
  </si>
  <si>
    <t>Kalkulator. Betriebszweigergebnis</t>
  </si>
  <si>
    <t xml:space="preserve">Grundfuttervollkosten </t>
  </si>
  <si>
    <t>Grundfuttervollkosten</t>
  </si>
  <si>
    <t>( - ) Grundfuttervollkosten</t>
  </si>
  <si>
    <t>Dunganfall ( Gülle )</t>
  </si>
  <si>
    <t>in Anlehnung an den Rinderreport</t>
  </si>
  <si>
    <t>Summe Grundfutter</t>
  </si>
  <si>
    <t>Abkalbealter ( Monate )</t>
  </si>
  <si>
    <t>Anteiliger Futterbau</t>
  </si>
  <si>
    <t>Erforderliche Stallplätze bzw. Bestand pro erzeugte Einheit in der jeweiligen Altersklasse</t>
  </si>
  <si>
    <t>Ba.-Wü.</t>
  </si>
  <si>
    <t>&lt;-------Festmist-------&gt;</t>
  </si>
  <si>
    <t>Grünland, Silage</t>
  </si>
  <si>
    <r>
      <t xml:space="preserve">G r u n d f u t t e r v e r b r a u c h </t>
    </r>
    <r>
      <rPr>
        <b/>
        <vertAlign val="superscript"/>
        <sz val="10"/>
        <rFont val="Arial"/>
        <family val="2"/>
      </rPr>
      <t>1)</t>
    </r>
    <r>
      <rPr>
        <b/>
        <sz val="10"/>
        <rFont val="Arial"/>
        <family val="2"/>
      </rPr>
      <t xml:space="preserve">  in MJ NEL in Abhängigkeit von der Grundfutterleistung</t>
    </r>
  </si>
  <si>
    <r>
      <t xml:space="preserve">erforderliche Anzahl </t>
    </r>
    <r>
      <rPr>
        <b/>
        <sz val="10"/>
        <rFont val="Arial Narrow"/>
        <family val="2"/>
      </rPr>
      <t>Kälberplätze</t>
    </r>
  </si>
  <si>
    <t>Kapitalbedarf je Kälberplatz</t>
  </si>
  <si>
    <t xml:space="preserve"> &lt;------------Rohrmelkanlage------------&gt;</t>
  </si>
  <si>
    <t>&lt;----Gülle-Gitterroste--&gt;</t>
  </si>
  <si>
    <t>Akmin/Tier und Tag für Milchg.</t>
  </si>
  <si>
    <t>Fütterung</t>
  </si>
  <si>
    <t>Entmistung/Einstreu</t>
  </si>
  <si>
    <t xml:space="preserve">2 kg Stroh/GV 2x tägl. misten </t>
  </si>
  <si>
    <t>Kälberaufzucht (erste 14 Tage)</t>
  </si>
  <si>
    <t>Gesamt</t>
  </si>
  <si>
    <t>Akmin/Tier u. T. f. füttern und misten</t>
  </si>
  <si>
    <t>Flüssigmistausb. in Akmin/Tier u. T.</t>
  </si>
  <si>
    <r>
      <t xml:space="preserve">FG 2*4 </t>
    </r>
    <r>
      <rPr>
        <sz val="8"/>
        <color indexed="18"/>
        <rFont val="Arial Narrow"/>
        <family val="2"/>
      </rPr>
      <t>1AK</t>
    </r>
  </si>
  <si>
    <r>
      <t xml:space="preserve">FG 2*6 </t>
    </r>
    <r>
      <rPr>
        <sz val="8"/>
        <color indexed="18"/>
        <rFont val="Arial Narrow"/>
        <family val="2"/>
      </rPr>
      <t>1AK</t>
    </r>
  </si>
  <si>
    <r>
      <t>FG 2*8</t>
    </r>
    <r>
      <rPr>
        <sz val="8"/>
        <color indexed="18"/>
        <rFont val="Arial Narrow"/>
        <family val="2"/>
      </rPr>
      <t xml:space="preserve"> 2AK</t>
    </r>
  </si>
  <si>
    <r>
      <t xml:space="preserve">FG 2*12 </t>
    </r>
    <r>
      <rPr>
        <sz val="8"/>
        <color indexed="18"/>
        <rFont val="Arial Narrow"/>
        <family val="2"/>
      </rPr>
      <t>2AK</t>
    </r>
  </si>
  <si>
    <r>
      <t xml:space="preserve">MK 20Pl. </t>
    </r>
    <r>
      <rPr>
        <sz val="8"/>
        <color indexed="18"/>
        <rFont val="Arial Narrow"/>
        <family val="2"/>
      </rPr>
      <t>1AK</t>
    </r>
  </si>
  <si>
    <r>
      <t>MK 40 Pl.</t>
    </r>
    <r>
      <rPr>
        <sz val="8"/>
        <color indexed="18"/>
        <rFont val="Arial Narrow"/>
        <family val="2"/>
      </rPr>
      <t xml:space="preserve"> 2AK</t>
    </r>
  </si>
  <si>
    <t>Silagefräs-o. Mischwagen
 + KF-Automat</t>
  </si>
  <si>
    <t>Futtermischwagen , Total - Misch - Ration</t>
  </si>
  <si>
    <t>Spaltenbodenlaufgang, eingestreute Boxen</t>
  </si>
  <si>
    <t>&lt;Hinweise&gt;</t>
  </si>
  <si>
    <t>&lt;Färse(Fol)&gt;</t>
  </si>
  <si>
    <t>&lt;Färse(b)&gt;</t>
  </si>
  <si>
    <t>&lt;Färse(a)&gt;</t>
  </si>
  <si>
    <t>Ø aus MAT I  (&gt;=50 % MMP) und MAT II (MMP-frei)</t>
  </si>
  <si>
    <t>&lt;Grafik-Kost.deck.Erlös&gt;</t>
  </si>
  <si>
    <t>2 - 5</t>
  </si>
  <si>
    <t>12</t>
  </si>
  <si>
    <t>14</t>
  </si>
  <si>
    <t>15</t>
  </si>
  <si>
    <t>16 - 21</t>
  </si>
  <si>
    <t>22</t>
  </si>
  <si>
    <t>23</t>
  </si>
  <si>
    <t>24 - 29</t>
  </si>
  <si>
    <t>30</t>
  </si>
  <si>
    <t>31</t>
  </si>
  <si>
    <t>32 - 37</t>
  </si>
  <si>
    <t>&lt;Grafik-DB-Färse&gt;</t>
  </si>
  <si>
    <t>Geburtsgewicht</t>
  </si>
  <si>
    <t>Gewichtsentwicklung, Rasse Fleckvieh, Stand 1987</t>
  </si>
  <si>
    <t>6 - 7</t>
  </si>
  <si>
    <t>13</t>
  </si>
  <si>
    <r>
      <t xml:space="preserve">variable </t>
    </r>
    <r>
      <rPr>
        <sz val="12"/>
        <rFont val="Arial"/>
        <family val="2"/>
      </rPr>
      <t>Grundfutterkosten (Vollkosten: s.o.)</t>
    </r>
  </si>
  <si>
    <r>
      <t>Feste</t>
    </r>
    <r>
      <rPr>
        <sz val="12"/>
        <rFont val="Arial"/>
        <family val="2"/>
      </rPr>
      <t xml:space="preserve"> Kosten Grundfutter</t>
    </r>
  </si>
  <si>
    <t>je nach Betriebsgröße)</t>
  </si>
  <si>
    <t>Gewinn je Akh:</t>
  </si>
  <si>
    <t xml:space="preserve">Summe variable Kosten </t>
  </si>
  <si>
    <r>
      <t>Deckungsbeitrag (vor Gru.-fu)</t>
    </r>
    <r>
      <rPr>
        <b/>
        <vertAlign val="superscript"/>
        <sz val="11"/>
        <rFont val="Arial"/>
        <family val="2"/>
      </rPr>
      <t>1)</t>
    </r>
  </si>
  <si>
    <t>1) Leistungen, abzgl. variable Kosten, für die Planung</t>
  </si>
  <si>
    <r>
      <t>Deckungsbeitrag (vor Gru.-fu)</t>
    </r>
    <r>
      <rPr>
        <b/>
        <vertAlign val="superscript"/>
        <sz val="11"/>
        <rFont val="Arial"/>
        <family val="2"/>
      </rPr>
      <t>2)</t>
    </r>
  </si>
  <si>
    <t>2) Berücksichtigung von Prämien und Zinsansatz, für die Wettbewerbsfähigkeit</t>
  </si>
  <si>
    <r>
      <t>Grundfutter(voll)kosten</t>
    </r>
    <r>
      <rPr>
        <vertAlign val="superscript"/>
        <sz val="11"/>
        <rFont val="Arial"/>
        <family val="2"/>
      </rPr>
      <t xml:space="preserve"> 3 )</t>
    </r>
  </si>
  <si>
    <r>
      <t>Deckungsbeitr.  nach Grundfutter</t>
    </r>
    <r>
      <rPr>
        <b/>
        <vertAlign val="superscript"/>
        <sz val="11"/>
        <rFont val="Arial"/>
        <family val="2"/>
      </rPr>
      <t>4)</t>
    </r>
  </si>
  <si>
    <r>
      <t>(Neubau+</t>
    </r>
    <r>
      <rPr>
        <sz val="10"/>
        <color indexed="12"/>
        <rFont val="Arial"/>
        <family val="2"/>
      </rPr>
      <t>anteilige</t>
    </r>
    <r>
      <rPr>
        <sz val="10"/>
        <rFont val="Arial"/>
        <family val="2"/>
      </rPr>
      <t xml:space="preserve"> Quotenentlohnung)</t>
    </r>
  </si>
  <si>
    <r>
      <t>(Neubau+</t>
    </r>
    <r>
      <rPr>
        <sz val="10"/>
        <color indexed="12"/>
        <rFont val="Arial"/>
        <family val="2"/>
      </rPr>
      <t>anteilige</t>
    </r>
    <r>
      <rPr>
        <sz val="10"/>
        <rFont val="Arial"/>
        <family val="2"/>
      </rPr>
      <t xml:space="preserve"> Quotenentlohnung)</t>
    </r>
  </si>
  <si>
    <r>
      <t xml:space="preserve">b.) bei nur </t>
    </r>
    <r>
      <rPr>
        <b/>
        <sz val="14"/>
        <color indexed="12"/>
        <rFont val="Arial Black"/>
        <family val="2"/>
      </rPr>
      <t>anteiliger</t>
    </r>
    <r>
      <rPr>
        <b/>
        <sz val="14"/>
        <rFont val="Arial Black"/>
        <family val="2"/>
      </rPr>
      <t xml:space="preserve"> Entlohnung der Quote, (%-Zahl im gelben Feld variieren !!)</t>
    </r>
  </si>
  <si>
    <t>Klick auf gelb: nach oben zur Vollkostenrechnung</t>
  </si>
  <si>
    <t>Lohnanspruch erreicht ?</t>
  </si>
  <si>
    <t>Dienstag</t>
  </si>
  <si>
    <t>Festkostenanteil einschl. Zinsansprüche  in % des DB</t>
  </si>
  <si>
    <t>mittlere Intensität</t>
  </si>
  <si>
    <t>in % der Leistung</t>
  </si>
  <si>
    <t xml:space="preserve">Erzeuger- und Betriebsmittelpreise </t>
  </si>
  <si>
    <t>Summe Stallplätze bzw. Bestand pro erzeugte Einheit:</t>
  </si>
  <si>
    <t>41 - 44</t>
  </si>
  <si>
    <t>Anzahl</t>
  </si>
  <si>
    <t xml:space="preserve">      Milchleistung in kg</t>
  </si>
  <si>
    <t>Futterbedarf</t>
  </si>
  <si>
    <t>Quelle: KTBL-Datenkatalog;  Betriebsplanung für die Landwirtschaft 1999 / 2000; S.176; verändert bei MAT-Verbrauch</t>
  </si>
  <si>
    <t>Aufzuchtkosten bis 75 kg</t>
  </si>
  <si>
    <t>(12 Wochen Milchtränke)</t>
  </si>
  <si>
    <t>(8 Wochen Milchtränke)</t>
  </si>
  <si>
    <t>€/kWh</t>
  </si>
  <si>
    <t>Betriebszweigergebnis je Tier  und je kg Milch ausgewiesen.</t>
  </si>
  <si>
    <t>dargestellt.</t>
  </si>
  <si>
    <t>sowie das kalkulatorische Betriebszweigergebnis je erzeugter Färse ausgewiesen.</t>
  </si>
  <si>
    <t xml:space="preserve">Gebäudekosten / Jahr)   im langfristigen Betrachtungszeitraum. </t>
  </si>
  <si>
    <t>Betrachtungszeitraum dargestellt.</t>
  </si>
  <si>
    <t>ohne Berücksichtigung von Gebäudekosten.</t>
  </si>
  <si>
    <t>kWh je 100 kg Milch</t>
  </si>
  <si>
    <t>G</t>
  </si>
  <si>
    <t>zurück zur Zeile Aufzuchtkosten</t>
  </si>
  <si>
    <t xml:space="preserve">Gewinn des Betriebszweiges, Neubausituation, </t>
  </si>
  <si>
    <t xml:space="preserve">         Kälberaufzuchtkosten bis 75 kg LG</t>
  </si>
  <si>
    <r>
      <t xml:space="preserve">Betriebsdurchschnitte von ganzjährig geprüften </t>
    </r>
    <r>
      <rPr>
        <b/>
        <u/>
        <sz val="10"/>
        <color indexed="10"/>
        <rFont val="Arial Narrow"/>
        <family val="2"/>
      </rPr>
      <t>H</t>
    </r>
    <r>
      <rPr>
        <b/>
        <sz val="10"/>
        <rFont val="Arial Narrow"/>
        <family val="2"/>
      </rPr>
      <t>erd</t>
    </r>
    <r>
      <rPr>
        <b/>
        <u/>
        <sz val="10"/>
        <color indexed="10"/>
        <rFont val="Arial Narrow"/>
        <family val="2"/>
      </rPr>
      <t>b</t>
    </r>
    <r>
      <rPr>
        <b/>
        <sz val="10"/>
        <rFont val="Arial Narrow"/>
        <family val="2"/>
      </rPr>
      <t>uch-und</t>
    </r>
    <r>
      <rPr>
        <b/>
        <sz val="10"/>
        <color indexed="10"/>
        <rFont val="Arial Narrow"/>
        <family val="2"/>
      </rPr>
      <t xml:space="preserve"> </t>
    </r>
    <r>
      <rPr>
        <b/>
        <u/>
        <sz val="10"/>
        <color indexed="10"/>
        <rFont val="Arial Narrow"/>
        <family val="2"/>
      </rPr>
      <t>N</t>
    </r>
    <r>
      <rPr>
        <b/>
        <sz val="10"/>
        <rFont val="Arial Narrow"/>
        <family val="2"/>
      </rPr>
      <t>icht</t>
    </r>
    <r>
      <rPr>
        <b/>
        <u/>
        <sz val="10"/>
        <color indexed="10"/>
        <rFont val="Arial Narrow"/>
        <family val="2"/>
      </rPr>
      <t>h</t>
    </r>
    <r>
      <rPr>
        <b/>
        <sz val="10"/>
        <rFont val="Arial Narrow"/>
        <family val="2"/>
      </rPr>
      <t>erd</t>
    </r>
    <r>
      <rPr>
        <b/>
        <u/>
        <sz val="10"/>
        <color indexed="10"/>
        <rFont val="Arial Narrow"/>
        <family val="2"/>
      </rPr>
      <t>b</t>
    </r>
    <r>
      <rPr>
        <b/>
        <sz val="10"/>
        <rFont val="Arial Narrow"/>
        <family val="2"/>
      </rPr>
      <t>uch</t>
    </r>
    <r>
      <rPr>
        <b/>
        <sz val="10"/>
        <color indexed="8"/>
        <rFont val="Arial Narrow"/>
        <family val="2"/>
      </rPr>
      <t>b</t>
    </r>
    <r>
      <rPr>
        <b/>
        <sz val="10"/>
        <rFont val="Arial Narrow"/>
        <family val="2"/>
      </rPr>
      <t>etrieben</t>
    </r>
  </si>
  <si>
    <t xml:space="preserve">   Deckungsbeitrag</t>
  </si>
  <si>
    <t>Grünland, Grünfutter</t>
  </si>
  <si>
    <t>Grünland, Heu</t>
  </si>
  <si>
    <t>Weide, extensiv</t>
  </si>
  <si>
    <t>(längerfristiger Festkostenanteil lt. Buchführungsergebnissen in Fu-baubetrieben: ca. 40-70 % des DB</t>
  </si>
  <si>
    <t>(Gewinnrate)</t>
  </si>
  <si>
    <r>
      <t xml:space="preserve">a.) bei </t>
    </r>
    <r>
      <rPr>
        <sz val="14"/>
        <color indexed="12"/>
        <rFont val="Arial"/>
        <family val="2"/>
      </rPr>
      <t>voller</t>
    </r>
    <r>
      <rPr>
        <sz val="14"/>
        <rFont val="Arial"/>
        <family val="2"/>
      </rPr>
      <t xml:space="preserve">  Entlohnung der Quote,</t>
    </r>
  </si>
  <si>
    <t>bereits abgeschriebenen Quoten, etc.</t>
  </si>
  <si>
    <t>(realökonomischer Ansatz)</t>
  </si>
  <si>
    <t>Berücksichtigung von:  Altpachtansprüchen,</t>
  </si>
  <si>
    <t>Preise weibliche zu männliche Fleckviehkälber, Stichprobe 2004</t>
  </si>
  <si>
    <t>kg TM</t>
  </si>
  <si>
    <t>kg TM pro Tag</t>
  </si>
  <si>
    <t>variable Kosten der Futtervorlage, Silage</t>
  </si>
  <si>
    <t>kg/m³ Vol</t>
  </si>
  <si>
    <t>(theorieökonomischer Ansatz)</t>
  </si>
  <si>
    <t>K</t>
  </si>
  <si>
    <t>Kostenanteil in % der Vollkosten von oben:</t>
  </si>
  <si>
    <t>Welches Einkommen (Gewinn / Gewinnbeitrag des Betriebszweiges) liefert die Milchviehhaltung</t>
  </si>
  <si>
    <t>Welches Einkommen (Gewinn / Gewinnbeitrag des Betriebeszweigs) liefert die Milchviehhaltung</t>
  </si>
  <si>
    <t xml:space="preserve">      e-mail: Poststelle@lel.bwl.de</t>
  </si>
  <si>
    <t>(übliche Gewinnrate lt. Buchführungsergebnissen:</t>
  </si>
  <si>
    <t>20 -25 %)</t>
  </si>
  <si>
    <t>Holsteins</t>
  </si>
  <si>
    <t>BrV</t>
  </si>
  <si>
    <t>Regel: Weide nur im 2. Jahr ?</t>
  </si>
  <si>
    <t>Kalb, FlV, 14 Tage</t>
  </si>
  <si>
    <t>c) Milchkühe je Halter</t>
  </si>
  <si>
    <t>d) Milchkühe nach Bestandsgrößenklassen (%)</t>
  </si>
  <si>
    <t>e) Milchkuhhalter nach Bestandsgrößenklassen (%)</t>
  </si>
  <si>
    <t>Milchleistung in Baden-Württemberg: die 3 wichtigsten Rassen</t>
  </si>
  <si>
    <t>Eiweiß-%</t>
  </si>
  <si>
    <t>Gesamtverzehr Trockensubstanz (GF+KF)</t>
  </si>
  <si>
    <r>
      <t>Dunganfall /</t>
    </r>
    <r>
      <rPr>
        <i/>
        <sz val="11"/>
        <rFont val="Arial"/>
        <family val="2"/>
      </rPr>
      <t xml:space="preserve"> davon auszubringen</t>
    </r>
  </si>
  <si>
    <t>Futtervorlage (var. Masch.kost.)</t>
  </si>
  <si>
    <t>variable Maschinenkosten der Futtervorlage</t>
  </si>
  <si>
    <t>Kalb, Sbt, 14 Tage</t>
  </si>
  <si>
    <t>Gewichtsentwicklung, abgekalbt (Minimum)</t>
  </si>
  <si>
    <t>Kalb, BrV, 14 Tage</t>
  </si>
  <si>
    <t>Anteile für Ø-Werte Kalb  (14 Tage)</t>
  </si>
  <si>
    <t>Preis Kalb (14 T.)</t>
  </si>
  <si>
    <r>
      <t>€</t>
    </r>
    <r>
      <rPr>
        <sz val="11"/>
        <rFont val="Arial"/>
        <family val="2"/>
      </rPr>
      <t xml:space="preserve">/Einh. </t>
    </r>
  </si>
  <si>
    <t>Strukturentwicklung
 S.45 - 47</t>
  </si>
  <si>
    <t>Tabelle 8: Saldo aus Leistungen und Koste: (Ergebnisse aus Arbeitskreisen Rheinland: Quelle:Milchpraxis, 4/2002, S.160 ff.</t>
  </si>
  <si>
    <t>Summe Direktkosten</t>
  </si>
  <si>
    <t>direktkostenfreie Leistung</t>
  </si>
  <si>
    <t>1) für die Planung</t>
  </si>
  <si>
    <t>Kosten d. Arbeitserl.</t>
  </si>
  <si>
    <t>Kosten f. Lieferrechte</t>
  </si>
  <si>
    <t>Gebäudekosten</t>
  </si>
  <si>
    <t>Sonstige Kosten</t>
  </si>
  <si>
    <t>Cent je kg Milch</t>
  </si>
  <si>
    <t>(Pacht: 1,78; Superabgabe 0,04; Zinsansatz Quote 3,05)</t>
  </si>
  <si>
    <r>
      <t>Arbeit</t>
    </r>
    <r>
      <rPr>
        <sz val="11"/>
        <rFont val="Arial"/>
        <family val="2"/>
      </rPr>
      <t/>
    </r>
  </si>
  <si>
    <t xml:space="preserve"> (-)  Zinsansatz Vieh- u. Umlaufvermögen</t>
  </si>
  <si>
    <t>Mw.st.</t>
  </si>
  <si>
    <t>€/Kuh</t>
  </si>
  <si>
    <t xml:space="preserve">€/kg </t>
  </si>
  <si>
    <t>Quelle: INFODIENST B:W., einschl. 2,50 € Mahl-Misch-u.Lagerkosten</t>
  </si>
  <si>
    <t xml:space="preserve">K ä l b e r s t a l l </t>
  </si>
  <si>
    <t>Baukosten</t>
  </si>
  <si>
    <t>Akh-Bedarf</t>
  </si>
  <si>
    <t>Milchpreis</t>
  </si>
  <si>
    <t>Schlachtkuhpreis</t>
  </si>
  <si>
    <t>Nutz-und Schlachtkälberpreise</t>
  </si>
  <si>
    <t>RP Stuttgart</t>
  </si>
  <si>
    <t>kWh je Platz/J.</t>
  </si>
  <si>
    <t>RP Karlsruhe</t>
  </si>
  <si>
    <t>RP Freiburg</t>
  </si>
  <si>
    <t>RP Tübingen</t>
  </si>
  <si>
    <r>
      <t>Bestandsergänzung + Aufzuchtkosten</t>
    </r>
    <r>
      <rPr>
        <sz val="8"/>
        <rFont val="Arial"/>
        <family val="2"/>
      </rPr>
      <t xml:space="preserve"> (bis 75 kg)</t>
    </r>
  </si>
  <si>
    <t>( - ) Zinsansatz Vieh- u. Umlaufvermögen</t>
  </si>
  <si>
    <t>Bestandsergänzung + Aufzuchtkosten (bis 75kg)</t>
  </si>
  <si>
    <t>(ohne Berücksichtigung von Kosten für Stall u. stationäre Technik)</t>
  </si>
  <si>
    <t>Bestandsgröße</t>
  </si>
  <si>
    <t>Zellverknüpfung zu Dropdownfeld "Energiestufe"</t>
  </si>
  <si>
    <t>Dungausbringung</t>
  </si>
  <si>
    <t>Akmin/Tag</t>
  </si>
  <si>
    <t>kg / Monate</t>
  </si>
  <si>
    <r>
      <t>Arbeitszeitbedarf - Liegeboxenlaufställe</t>
    </r>
    <r>
      <rPr>
        <b/>
        <vertAlign val="superscript"/>
        <sz val="12"/>
        <rFont val="Arial"/>
        <family val="2"/>
      </rPr>
      <t>1)</t>
    </r>
    <r>
      <rPr>
        <b/>
        <sz val="12"/>
        <rFont val="Arial"/>
        <family val="2"/>
      </rPr>
      <t xml:space="preserve"> </t>
    </r>
  </si>
  <si>
    <r>
      <t>Arbeitszeitbedarf - Anbindeställe</t>
    </r>
    <r>
      <rPr>
        <b/>
        <vertAlign val="superscript"/>
        <sz val="12"/>
        <rFont val="Arial"/>
        <family val="2"/>
      </rPr>
      <t>1)</t>
    </r>
    <r>
      <rPr>
        <b/>
        <sz val="12"/>
        <color indexed="17"/>
        <rFont val="Arial"/>
        <family val="2"/>
      </rPr>
      <t xml:space="preserve"> </t>
    </r>
  </si>
  <si>
    <t>1)einschl. Dungausbringung, ohne Futterbau,
 Futtervorlage -Entmistungs -und Melktechnik ist der Bestandsgröße entsprechend angepaßt.</t>
  </si>
  <si>
    <t>Milchgewinnung</t>
  </si>
  <si>
    <t>in kg</t>
  </si>
  <si>
    <t>Holstein-Sbt.</t>
  </si>
  <si>
    <t>Nhb</t>
  </si>
  <si>
    <t>Hb</t>
  </si>
  <si>
    <t>alle Rassen</t>
  </si>
  <si>
    <t>siehe auch:</t>
  </si>
  <si>
    <t>Kapitalbedarf in € / Platz bei ......Plätzen</t>
  </si>
  <si>
    <t>Stall</t>
  </si>
  <si>
    <t>Gülle</t>
  </si>
  <si>
    <t>Futter</t>
  </si>
  <si>
    <t>Futterenergiebedarf Milchkühe</t>
  </si>
  <si>
    <t>kg LG</t>
  </si>
  <si>
    <t>kg Ø Lebendgewicht</t>
  </si>
  <si>
    <t>40 – 59</t>
  </si>
  <si>
    <t>€/100 kg</t>
  </si>
  <si>
    <r>
      <t xml:space="preserve">Versorgungsbilanz für </t>
    </r>
    <r>
      <rPr>
        <b/>
        <sz val="10"/>
        <rFont val="Arial"/>
        <family val="2"/>
      </rPr>
      <t>Vollmilch</t>
    </r>
    <r>
      <rPr>
        <sz val="10"/>
        <rFont val="Arial"/>
        <family val="2"/>
      </rPr>
      <t xml:space="preserve"> in BW, in Deutschland und in der EU</t>
    </r>
  </si>
  <si>
    <t>EG / EU</t>
  </si>
  <si>
    <t>Bundesgebiet</t>
  </si>
  <si>
    <t>Summe Erhaltungsbedarf</t>
  </si>
  <si>
    <t xml:space="preserve">Bedarf je kg Milch bei </t>
  </si>
  <si>
    <t>% Fett</t>
  </si>
  <si>
    <t>Änderung des Fettgehaltes und Energiebedarf</t>
  </si>
  <si>
    <t>Zuschlag für technische Verluste beim Grundfutter</t>
  </si>
  <si>
    <t>Kraftfutter der</t>
  </si>
  <si>
    <t>Rassen</t>
  </si>
  <si>
    <t>M i l c h l e i s t u n g</t>
  </si>
  <si>
    <t>Inhaltsstoffe</t>
  </si>
  <si>
    <t>Ø Nhb+Hb</t>
  </si>
  <si>
    <t>MJ NEL pro kg Kraftfutter (88% TS)</t>
  </si>
  <si>
    <t>Energiestufe 2</t>
  </si>
  <si>
    <t xml:space="preserve">bei ca.: </t>
  </si>
  <si>
    <t>Fett-%</t>
  </si>
  <si>
    <t>Vergütung der Arbeit kurzfristig</t>
  </si>
  <si>
    <t>1) seit 2007 sind rd. 135 000 t Milchreferenzmenge in andere Bundesländer abgewandert: Dies entspricht rd. 20 000 Milchkühen bzw. rd.  5,5 % des Baden-Württemberger Kuhbestandes</t>
  </si>
  <si>
    <r>
      <t>Kurzfristige Betrachtung</t>
    </r>
    <r>
      <rPr>
        <sz val="12"/>
        <rFont val="Arial"/>
        <family val="2"/>
      </rPr>
      <t xml:space="preserve"> (nur kurzfristig variable Faktoren zu entlohnen)</t>
    </r>
  </si>
  <si>
    <t>Summe je ha</t>
  </si>
  <si>
    <t>GAP-Prä./ha</t>
  </si>
  <si>
    <t>MEKA,AZL/ha</t>
  </si>
  <si>
    <t>enthaltene Prämien in Kalk.daten Fu-bau</t>
  </si>
  <si>
    <t>Quelle: KTBL-Taschenbuch 2002/03, S.200 und KTBL-Datensammlung 2002/03, S.196/197</t>
  </si>
  <si>
    <t>1 – 9</t>
  </si>
  <si>
    <t>10 – 19</t>
  </si>
  <si>
    <t>20 – 29</t>
  </si>
  <si>
    <t>30 – 39</t>
  </si>
  <si>
    <t>a) Milchkühe nach Bestandsgrößenklassen</t>
  </si>
  <si>
    <t>b) Milchkuhhalter nach Bestandsgrößenklassen</t>
  </si>
  <si>
    <t>60 u. mehr</t>
  </si>
  <si>
    <t>(MLP-Betriebe)</t>
  </si>
  <si>
    <t>Anzahl gepr. Tiere</t>
  </si>
  <si>
    <t>kg</t>
  </si>
  <si>
    <t>Ø</t>
  </si>
  <si>
    <t>Kalkulationsdaten Milchviehhaltung</t>
  </si>
  <si>
    <t xml:space="preserve">Deckungsbeiträge </t>
  </si>
  <si>
    <t>Vollkosten</t>
  </si>
  <si>
    <t>Verwertung knapper Faktoren</t>
  </si>
  <si>
    <t>Erstellt von:</t>
  </si>
  <si>
    <t>Landesanstalt für Entwicklung der Landwirtschaft</t>
  </si>
  <si>
    <t>Akh bzw. € / Einh.</t>
  </si>
  <si>
    <t>variable Gru-fukosten</t>
  </si>
  <si>
    <t xml:space="preserve">und der ländlichen Räume, Schwäbisch Gmünd             </t>
  </si>
  <si>
    <t>Grundfutter</t>
  </si>
  <si>
    <t>MJ NEL je kg</t>
  </si>
  <si>
    <t>kg T p. Tag</t>
  </si>
  <si>
    <t>( + / - 0,04 MJ NEL je 0,10% Fettabweichung)</t>
  </si>
  <si>
    <t>MJ NEL/kg T</t>
  </si>
  <si>
    <t>dt KF</t>
  </si>
  <si>
    <t>ohne Mw.st</t>
  </si>
  <si>
    <t>Bearbeiter:</t>
  </si>
  <si>
    <t xml:space="preserve">Stand: </t>
  </si>
  <si>
    <t xml:space="preserve">      Landesanstalt für Entwicklung der Landwirtschaft und der Ländlichen Räume (LEL)</t>
  </si>
  <si>
    <t xml:space="preserve">      Oberbettringer Str. 162, 73525 Schwäbisch Gmünd, Tel.: 07171 / 917 - 100, Fax: 07171 / 917 - 101</t>
  </si>
  <si>
    <t>Stand:</t>
  </si>
  <si>
    <t>Inhaltsverzeichnis</t>
  </si>
  <si>
    <t>Tabellenblatt</t>
  </si>
  <si>
    <t>Seite</t>
  </si>
  <si>
    <t>A. Hinweise für die Benutzer</t>
  </si>
  <si>
    <t>m3 Gülle inclusive Tränke -und Reinigungswasser</t>
  </si>
  <si>
    <t>Milchkuh      &lt;</t>
  </si>
  <si>
    <t>Milchkuh      &gt;</t>
  </si>
  <si>
    <t>(lt. Merkblatt)</t>
  </si>
  <si>
    <t xml:space="preserve"> +Sonstiges Wasser</t>
  </si>
  <si>
    <t xml:space="preserve"> =SUMME</t>
  </si>
  <si>
    <t>Gülleanfall</t>
  </si>
  <si>
    <t>(Mindestmenge lt. DVO; / KTBL)</t>
  </si>
  <si>
    <t xml:space="preserve"> +Melkstandwasser</t>
  </si>
  <si>
    <t xml:space="preserve">B. Allgemeine Berechnungsgrundlagen </t>
  </si>
  <si>
    <t xml:space="preserve">Wasser, </t>
  </si>
  <si>
    <t>Sonstige Festkosten</t>
  </si>
  <si>
    <r>
      <t xml:space="preserve">gemittelter Mwst.- Satz für variable Kosten und sonstige Festkosten </t>
    </r>
    <r>
      <rPr>
        <vertAlign val="superscript"/>
        <sz val="12"/>
        <rFont val="Arial"/>
        <family val="2"/>
      </rPr>
      <t>1)</t>
    </r>
  </si>
  <si>
    <t xml:space="preserve">Energie </t>
  </si>
  <si>
    <t>Strom</t>
  </si>
  <si>
    <r>
      <t>€/m</t>
    </r>
    <r>
      <rPr>
        <vertAlign val="superscript"/>
        <sz val="12"/>
        <rFont val="Arial"/>
        <family val="2"/>
      </rPr>
      <t>3</t>
    </r>
  </si>
  <si>
    <t xml:space="preserve">Grundfutter(voll)kosten </t>
  </si>
  <si>
    <t>&lt;Stammdaten&gt;</t>
  </si>
  <si>
    <t>&lt;Preise&gt;</t>
  </si>
  <si>
    <t>&lt;Ausgleichsleistungen&gt;</t>
  </si>
  <si>
    <t>C. Produktionsverfahren, Deckungsbeiträge</t>
  </si>
  <si>
    <t>Deckungsbeitrag vor  Grundfutter</t>
  </si>
  <si>
    <t>Deckungsbeitrag nach Grundfutter</t>
  </si>
  <si>
    <t>&lt;DB-Übersicht&gt;</t>
  </si>
  <si>
    <t>8</t>
  </si>
  <si>
    <t>&lt;Grafik-DB&gt;</t>
  </si>
  <si>
    <t>Kapitalbedarf je Jungviehplatz</t>
  </si>
  <si>
    <t>9</t>
  </si>
  <si>
    <t>D. Produktionsverfahren, Vollkosten</t>
  </si>
  <si>
    <t>Die hier vorliegenden rassespezifischen  Produktionsverfahren werden durch die  Tabellenblätter .....(a) und .....(b) beschrieben.</t>
  </si>
  <si>
    <t>Diese werden durch Folienvorlagen ergänzt: .....(Fol).</t>
  </si>
  <si>
    <t>Fleckvieh</t>
  </si>
  <si>
    <t>a): Berechnungsgrundlagen (für Deckungsbeitrag und Vollkosten)</t>
  </si>
  <si>
    <t>&lt;FlV(a)&gt;</t>
  </si>
  <si>
    <t>10</t>
  </si>
  <si>
    <t xml:space="preserve">b): Kostenrechnung (für Deckungsbeitrag und Vollkosten) </t>
  </si>
  <si>
    <t>&lt;FlV(b)&gt;</t>
  </si>
  <si>
    <t>11</t>
  </si>
  <si>
    <t>c): 6-seitige Folienvorlage</t>
  </si>
  <si>
    <t>&lt;FlV(Fol)&gt;</t>
  </si>
  <si>
    <t>&lt;Sbt(a)&gt;</t>
  </si>
  <si>
    <t>&lt;Sbt(b)&gt;</t>
  </si>
  <si>
    <t>&lt;Sbt(Fol)&gt;</t>
  </si>
  <si>
    <t>Braunvieh</t>
  </si>
  <si>
    <t>&lt;BrV(a)&gt;</t>
  </si>
  <si>
    <t>&lt;BrV(b)&gt;</t>
  </si>
  <si>
    <t>&lt;BrV(Fol)&gt;</t>
  </si>
  <si>
    <t>1. Ziele und Anwendungsmöglichkeiten</t>
  </si>
  <si>
    <t>2. Programmaufbau</t>
  </si>
  <si>
    <t>Stammdaten</t>
  </si>
  <si>
    <t>Preise</t>
  </si>
  <si>
    <t>Ausgleichsleistungen</t>
  </si>
  <si>
    <r>
      <t xml:space="preserve"> Verf. 1</t>
    </r>
    <r>
      <rPr>
        <sz val="11"/>
        <rFont val="Arial"/>
        <family val="2"/>
      </rPr>
      <t xml:space="preserve"> (Milchkuh; Fleckvieh)</t>
    </r>
  </si>
  <si>
    <r>
      <t>Verf. 2</t>
    </r>
    <r>
      <rPr>
        <sz val="11"/>
        <rFont val="Arial"/>
        <family val="2"/>
      </rPr>
      <t xml:space="preserve"> (Milchkuh; Holstein-Sbt.)</t>
    </r>
  </si>
  <si>
    <t>a. ) Berechnungsgrundlagen</t>
  </si>
  <si>
    <t>b. ) Kostenrechnung</t>
  </si>
  <si>
    <t>c. ) Folienvorlagen</t>
  </si>
  <si>
    <t>Seite "Stammdaten"</t>
  </si>
  <si>
    <t>Seite "Preise"</t>
  </si>
  <si>
    <t>Seite "Ausgleichsleistungen"</t>
  </si>
  <si>
    <t>Seite "Verfahren................."(a) - Berechnungsgrundlagen</t>
  </si>
  <si>
    <t>Seite "Verfahren................."(b) - Kostenrechnung</t>
  </si>
  <si>
    <t>Folienvorlagen</t>
  </si>
  <si>
    <t>.......(Fol)</t>
  </si>
  <si>
    <t>Milchviehhaltung</t>
  </si>
  <si>
    <t>Mehrwertsteuersätze / Düngerwert / Zinssatz / Lohnansatz / Fest- u. Gemeinkosten</t>
  </si>
  <si>
    <t>die Berechnungen sollen durchgeführt werden für das Kalenderjahr:</t>
  </si>
  <si>
    <t>Mehrwertsteuer beim Verkauf landw. Erzeugnisse</t>
  </si>
  <si>
    <t>Mehrwertsteuer beim Einkauf von Produktionsmitteln</t>
  </si>
  <si>
    <t>landwirtschaftlicher Herkunft</t>
  </si>
  <si>
    <t>1) u.a. keine Mwst. bei Versicherungen, Verbandsbeiträgen, TSK; 7 % Mwst. bei Wasser, MLP, Deckgeld;</t>
  </si>
  <si>
    <t xml:space="preserve"> Düngerwert je m³ Gülle </t>
  </si>
  <si>
    <t>Tierart</t>
  </si>
  <si>
    <t>Rinder</t>
  </si>
  <si>
    <t>Mwst.</t>
  </si>
  <si>
    <t>kg je m³</t>
  </si>
  <si>
    <t>€/kg</t>
  </si>
  <si>
    <t>%</t>
  </si>
  <si>
    <t>Stickstoff</t>
  </si>
  <si>
    <r>
      <t xml:space="preserve"> l</t>
    </r>
    <r>
      <rPr>
        <b/>
        <sz val="10"/>
        <rFont val="Arial"/>
        <family val="2"/>
      </rPr>
      <t xml:space="preserve"> Fleckvieh</t>
    </r>
  </si>
  <si>
    <r>
      <t xml:space="preserve"> l</t>
    </r>
    <r>
      <rPr>
        <b/>
        <sz val="10"/>
        <rFont val="Arial"/>
        <family val="2"/>
      </rPr>
      <t xml:space="preserve"> Schwarzbunte</t>
    </r>
  </si>
  <si>
    <r>
      <t xml:space="preserve"> l </t>
    </r>
    <r>
      <rPr>
        <b/>
        <sz val="10"/>
        <rFont val="Arial"/>
        <family val="2"/>
      </rPr>
      <t xml:space="preserve"> Braunvieh</t>
    </r>
  </si>
  <si>
    <t>Deckungsbeiträge aller Verfahren  (&lt;DB-Übersicht&gt;)</t>
  </si>
  <si>
    <t>Grafik-DB aller Verfahren</t>
  </si>
  <si>
    <t xml:space="preserve">Da die bisherigen Prämien für Milch und Mastrinder vollkommen von der Produktion entkoppelt sind, dürfen </t>
  </si>
  <si>
    <t>sie den Tierhaltungsverfahren nicht mehr zugeordnet werden, denn ihr Erhalt ist auch ohne die Aufrecht-</t>
  </si>
  <si>
    <t>N</t>
  </si>
  <si>
    <r>
      <t>P</t>
    </r>
    <r>
      <rPr>
        <vertAlign val="subscript"/>
        <sz val="12"/>
        <rFont val="Arial"/>
        <family val="2"/>
      </rPr>
      <t>2</t>
    </r>
    <r>
      <rPr>
        <sz val="12"/>
        <rFont val="Arial"/>
        <family val="2"/>
      </rPr>
      <t>O</t>
    </r>
    <r>
      <rPr>
        <vertAlign val="subscript"/>
        <sz val="12"/>
        <rFont val="Arial"/>
        <family val="2"/>
      </rPr>
      <t>5</t>
    </r>
  </si>
  <si>
    <r>
      <t>K</t>
    </r>
    <r>
      <rPr>
        <vertAlign val="subscript"/>
        <sz val="12"/>
        <rFont val="Arial"/>
        <family val="2"/>
      </rPr>
      <t>2</t>
    </r>
    <r>
      <rPr>
        <sz val="12"/>
        <rFont val="Arial"/>
        <family val="2"/>
      </rPr>
      <t>O</t>
    </r>
  </si>
  <si>
    <t>Magnesium</t>
  </si>
  <si>
    <t>MgO</t>
  </si>
  <si>
    <t>Wert je m³ Gülle</t>
  </si>
  <si>
    <t>€/m³</t>
  </si>
  <si>
    <t>Zinssatz (i) für gebundenes Kapital in %</t>
  </si>
  <si>
    <t>Kalenderjahr</t>
  </si>
  <si>
    <t>Aktuell</t>
  </si>
  <si>
    <t>Umlaufvermögen</t>
  </si>
  <si>
    <t>nein</t>
  </si>
  <si>
    <t>-</t>
  </si>
  <si>
    <t>Gebäudevermögen</t>
  </si>
  <si>
    <t>Technik</t>
  </si>
  <si>
    <t>Milchreferenzmenge</t>
  </si>
  <si>
    <t xml:space="preserve">Lohnansatz (für ständige AK) </t>
  </si>
  <si>
    <t>Stundenlohn</t>
  </si>
  <si>
    <t>€/Akh</t>
  </si>
  <si>
    <t>€/Pl.</t>
  </si>
  <si>
    <t>Nutzungsdauer</t>
  </si>
  <si>
    <t>Jahre</t>
  </si>
  <si>
    <t>Jährl. Unterhalt.kosten</t>
  </si>
  <si>
    <t>Gebäude</t>
  </si>
  <si>
    <t>stationäre Technik</t>
  </si>
  <si>
    <t>mobile Technik</t>
  </si>
  <si>
    <t>Afa</t>
  </si>
  <si>
    <t>Unterh.</t>
  </si>
  <si>
    <t>Zinsanspr.</t>
  </si>
  <si>
    <t>Summe</t>
  </si>
  <si>
    <t>Gemeinkosten</t>
  </si>
  <si>
    <r>
      <t xml:space="preserve">Kalenderjahr  </t>
    </r>
    <r>
      <rPr>
        <sz val="12"/>
        <rFont val="Arial"/>
        <family val="2"/>
      </rPr>
      <t>(Werte in € ohne Mwst.)</t>
    </r>
  </si>
  <si>
    <r>
      <t>Mwst.</t>
    </r>
    <r>
      <rPr>
        <b/>
        <vertAlign val="superscript"/>
        <sz val="12"/>
        <rFont val="Arial"/>
        <family val="2"/>
      </rPr>
      <t>1)</t>
    </r>
  </si>
  <si>
    <t xml:space="preserve">€/Kuh </t>
  </si>
  <si>
    <t xml:space="preserve">1) gemittelter Schätzwert: keine Mwst. z.B. bei Versicherungen, Verbandsbeiträgen, u.a.   </t>
  </si>
  <si>
    <t>DM/kg</t>
  </si>
  <si>
    <t>.</t>
  </si>
  <si>
    <t xml:space="preserve">Preise </t>
  </si>
  <si>
    <t>Betriebszweig:</t>
  </si>
  <si>
    <t>Kalenderjahr:</t>
  </si>
  <si>
    <r>
      <t xml:space="preserve">Kalenderjahr  </t>
    </r>
    <r>
      <rPr>
        <sz val="12"/>
        <rFont val="Arial"/>
        <family val="2"/>
      </rPr>
      <t>(Werte in €, ohne Mwst.)</t>
    </r>
  </si>
  <si>
    <t>Milch</t>
  </si>
  <si>
    <t>Rindfleisch</t>
  </si>
  <si>
    <t>€/dt</t>
  </si>
  <si>
    <t xml:space="preserve">Milchpreis </t>
  </si>
  <si>
    <t xml:space="preserve">Rassebedingte Zu-/ Abschläge </t>
  </si>
  <si>
    <t>zum Basismilchpreis :</t>
  </si>
  <si>
    <t>Futtertage</t>
  </si>
  <si>
    <t>Erhaltungsbedarf</t>
  </si>
  <si>
    <t>Diff. Je 50 kg LG</t>
  </si>
  <si>
    <t>MJ NEL/Tag</t>
  </si>
  <si>
    <t>m³ Methan /m³ Gülle</t>
  </si>
  <si>
    <t>Methan:</t>
  </si>
  <si>
    <t>zusätzlicher Bedarf für 42 Tage Vorbereitungsfütterung</t>
  </si>
  <si>
    <t>Quelle: Empfehlungen zur Energie und Nährstoffversorgung der Milchkühe u. Aufzuchtrinder (Nr.8, GfE 2001, DLG Verlag)</t>
  </si>
  <si>
    <t xml:space="preserve"> (+ / -  ca. 800 MJ NEL je 50 kg LG)</t>
  </si>
  <si>
    <t>zusätzl. Erh. Bedarf für 3. Woche bis z. Kalben</t>
  </si>
  <si>
    <t>zusätzl. Erh. Bedarf für 6. - 3. Woche vor dem Kalben</t>
  </si>
  <si>
    <t>€/St</t>
  </si>
  <si>
    <t>Provision für Verkaüfer = 5%; für Käufer = 4%; ( Kälber:1,5%)</t>
  </si>
  <si>
    <t>Altkuherlös, FlV;</t>
  </si>
  <si>
    <t>(R.ges.)</t>
  </si>
  <si>
    <t>€/kg SG</t>
  </si>
  <si>
    <t>Die o.g. 3 neuen Kennwerte sind im unteren Teil der Seite b mit aufgenommen.</t>
  </si>
  <si>
    <t xml:space="preserve">Die Kostenrechnung wird durch Folienvorlagen ergänzt, die beim Verfahren Milchkuh aus insges. </t>
  </si>
  <si>
    <t>6 Seiten, beim Verfahren Aufzuchtfärse aus 4 Seiten bestehen.</t>
  </si>
  <si>
    <t xml:space="preserve">                 -  je kg Milch </t>
  </si>
  <si>
    <r>
      <t xml:space="preserve">Gewichtsabschnitt 45 - 75 kg </t>
    </r>
    <r>
      <rPr>
        <sz val="14"/>
        <rFont val="Arial"/>
        <family val="2"/>
      </rPr>
      <t>in 56 Tagen</t>
    </r>
  </si>
  <si>
    <t>38, 40</t>
  </si>
  <si>
    <t>Quotenpreis</t>
  </si>
  <si>
    <t xml:space="preserve">Altkuherlös, Sbt; </t>
  </si>
  <si>
    <t>(O bis P)</t>
  </si>
  <si>
    <t>Eimermelkanlage</t>
  </si>
  <si>
    <t>Altkuherlös, BrV;</t>
  </si>
  <si>
    <t>(R bis O)</t>
  </si>
  <si>
    <t>Milchleistungsfutter</t>
  </si>
  <si>
    <t>Eigene Mischung</t>
  </si>
  <si>
    <t>Mineralfutter Rinder</t>
  </si>
  <si>
    <t>€/10 MJ NEL</t>
  </si>
  <si>
    <t>Silomais</t>
  </si>
  <si>
    <t>Butter</t>
  </si>
  <si>
    <t>4) Futtermischwagen mit Schlepper (anteilig);    Gülle: überbetriebl. Ausbringung; (sonst Wert erhöhen ! )</t>
  </si>
  <si>
    <t>Magermilchpulver</t>
  </si>
  <si>
    <t>Milch:</t>
  </si>
  <si>
    <t xml:space="preserve">Ausgleichsleistungen </t>
  </si>
  <si>
    <r>
      <t>Dunganfall</t>
    </r>
    <r>
      <rPr>
        <i/>
        <sz val="14"/>
        <rFont val="Arial"/>
        <family val="2"/>
      </rPr>
      <t xml:space="preserve"> /davon auszubringen</t>
    </r>
  </si>
  <si>
    <t>Anteil für Kühe</t>
  </si>
  <si>
    <t>Jahr</t>
  </si>
  <si>
    <t>€/ha</t>
  </si>
  <si>
    <r>
      <t>Gebietssaldo</t>
    </r>
    <r>
      <rPr>
        <b/>
        <vertAlign val="superscript"/>
        <sz val="14"/>
        <rFont val="Arial"/>
        <family val="2"/>
      </rPr>
      <t xml:space="preserve"> 1)</t>
    </r>
  </si>
  <si>
    <t>kg je Kuh</t>
  </si>
  <si>
    <t>% des Bestandes</t>
  </si>
  <si>
    <t>Gleichgewichtspreise+Quotenhandel
  Ba-Wü.  ab 2007 D-West</t>
  </si>
  <si>
    <t>1) ohne Förderung</t>
  </si>
  <si>
    <t>ohne Mwst.</t>
  </si>
  <si>
    <t>Förderung</t>
  </si>
  <si>
    <t>Entwicklung des Quotenpreises  (Milchquotenbörse);  Handelsmengen und Gebietssaldo</t>
  </si>
  <si>
    <r>
      <t xml:space="preserve">Kalenderjahr </t>
    </r>
    <r>
      <rPr>
        <sz val="12"/>
        <rFont val="Arial"/>
        <family val="2"/>
      </rPr>
      <t>(Baukosten pro Platz: Werte ohne Mwst.)</t>
    </r>
    <r>
      <rPr>
        <vertAlign val="superscript"/>
        <sz val="12"/>
        <rFont val="Arial"/>
        <family val="2"/>
      </rPr>
      <t>1)</t>
    </r>
  </si>
  <si>
    <r>
      <t xml:space="preserve">Kalenderjahr 
</t>
    </r>
    <r>
      <rPr>
        <sz val="12"/>
        <rFont val="Arial"/>
        <family val="2"/>
      </rPr>
      <t>(Baukosten und Referenzmenge: Werte in € ohne Mwst.)</t>
    </r>
    <r>
      <rPr>
        <vertAlign val="superscript"/>
        <sz val="12"/>
        <rFont val="Arial"/>
        <family val="2"/>
      </rPr>
      <t>1)</t>
    </r>
  </si>
  <si>
    <t>Zinsansatz</t>
  </si>
  <si>
    <t>je 10 MJNEL</t>
  </si>
  <si>
    <t xml:space="preserve">Verfahren </t>
  </si>
  <si>
    <t>Einheit</t>
  </si>
  <si>
    <t>Leistungsniveau</t>
  </si>
  <si>
    <t>niedrig</t>
  </si>
  <si>
    <t>mittel</t>
  </si>
  <si>
    <t>hoch</t>
  </si>
  <si>
    <t>Milchleistung</t>
  </si>
  <si>
    <t>Hauptleistung</t>
  </si>
  <si>
    <t>€</t>
  </si>
  <si>
    <t>Nebenleistung Kalb</t>
  </si>
  <si>
    <t>Wasser</t>
  </si>
  <si>
    <t>ktbl. 2004-05, s.68,  kühlung: variable Kosten gesamt = 2,42 €/Std, davon reparaturen 0,5€/Std. Strom = 16 kwh/Std.</t>
  </si>
  <si>
    <t>Nebenleistung Altkuh</t>
  </si>
  <si>
    <t>Düngerwert</t>
  </si>
  <si>
    <t xml:space="preserve">                     je kg Milch</t>
  </si>
  <si>
    <t>Bestandsergänzung</t>
  </si>
  <si>
    <t>Kraft-und Mineralfutter</t>
  </si>
  <si>
    <t>Besamung, Deckgeld</t>
  </si>
  <si>
    <t>Wasser, Energie</t>
  </si>
  <si>
    <t>MLP, ZV-Beitrag</t>
  </si>
  <si>
    <t>Vers. Verlustausgl. TSK</t>
  </si>
  <si>
    <t>var. Maschkosten (Futtervorlage)</t>
  </si>
  <si>
    <t>Lohnarbeit ( Gülleausbringung )</t>
  </si>
  <si>
    <t>Sonstiges</t>
  </si>
  <si>
    <t>K u h p l ä t z e</t>
  </si>
  <si>
    <t>AKh</t>
  </si>
  <si>
    <t>Grundfutterverbrauch</t>
  </si>
  <si>
    <t>10 MJ NEL</t>
  </si>
  <si>
    <t>Kraftfutterverbrauch</t>
  </si>
  <si>
    <r>
      <t>Deckungsbeitrag</t>
    </r>
    <r>
      <rPr>
        <sz val="11"/>
        <rFont val="Arial"/>
        <family val="2"/>
      </rPr>
      <t xml:space="preserve"> (vor Grundfutter, ohne Prämien, ohne Zinsans.)</t>
    </r>
    <r>
      <rPr>
        <vertAlign val="superscript"/>
        <sz val="11"/>
        <rFont val="Arial"/>
        <family val="2"/>
      </rPr>
      <t>1)</t>
    </r>
  </si>
  <si>
    <t>sowie Arbeitszeitauswertung DLG-Spitzenbetriebe 2006 (Over, Kümmel)</t>
  </si>
  <si>
    <r>
      <t>Deckungsbeitrag</t>
    </r>
    <r>
      <rPr>
        <b/>
        <sz val="11"/>
        <rFont val="Arial"/>
        <family val="2"/>
      </rPr>
      <t xml:space="preserve"> </t>
    </r>
    <r>
      <rPr>
        <sz val="11"/>
        <rFont val="Arial"/>
        <family val="2"/>
      </rPr>
      <t>(vor Grundfutter, mit Zinsansatz u.ggf. Prämien)</t>
    </r>
    <r>
      <rPr>
        <vertAlign val="superscript"/>
        <sz val="11"/>
        <rFont val="Arial"/>
        <family val="2"/>
      </rPr>
      <t>2)</t>
    </r>
  </si>
  <si>
    <t>M.kühe</t>
  </si>
  <si>
    <r>
      <t>Deckungsbeitrag</t>
    </r>
    <r>
      <rPr>
        <sz val="11"/>
        <rFont val="Arial"/>
        <family val="2"/>
      </rPr>
      <t xml:space="preserve"> (vor Grundfutter, ohne Zinsansatz)</t>
    </r>
    <r>
      <rPr>
        <vertAlign val="superscript"/>
        <sz val="11"/>
        <rFont val="Arial"/>
        <family val="2"/>
      </rPr>
      <t>1)</t>
    </r>
  </si>
  <si>
    <r>
      <t>Deckungsbeitrag</t>
    </r>
    <r>
      <rPr>
        <sz val="11"/>
        <rFont val="Arial"/>
        <family val="2"/>
      </rPr>
      <t xml:space="preserve"> (vor Grundfutter, mit Zinsansatz)</t>
    </r>
    <r>
      <rPr>
        <vertAlign val="superscript"/>
        <sz val="11"/>
        <rFont val="Arial"/>
        <family val="2"/>
      </rPr>
      <t>2)</t>
    </r>
  </si>
  <si>
    <r>
      <t xml:space="preserve">Deckungsbeitrag </t>
    </r>
    <r>
      <rPr>
        <sz val="13"/>
        <rFont val="Arial"/>
        <family val="2"/>
      </rPr>
      <t xml:space="preserve"> (nach Grundfutter, mit Zinsansatz)</t>
    </r>
  </si>
  <si>
    <t>abzgl. Nebenleistungen</t>
  </si>
  <si>
    <t>dt</t>
  </si>
  <si>
    <t>m³</t>
  </si>
  <si>
    <t>4) Maßstab für die relative Vorzüglichkeit des Verfahrens im Vergleich zu anderen.</t>
  </si>
  <si>
    <r>
      <t>Berechnungsgrundlagen</t>
    </r>
    <r>
      <rPr>
        <sz val="16"/>
        <rFont val="Arial"/>
        <family val="2"/>
      </rPr>
      <t xml:space="preserve"> </t>
    </r>
  </si>
  <si>
    <t>Kosten mit Gemeinkostencharakter (z.B. Buchführung, allgemeine Versicherungen, PKW) werden in der Position</t>
  </si>
  <si>
    <t>"Sonstige Festkosten" zusammengefaßt.</t>
  </si>
  <si>
    <t>Tatsache, daß in der Landwirtschaft eben keine adäquate Entlohnung von Kapital und Arbeit erzielt wird.</t>
  </si>
  <si>
    <t>Preis je 10 MJNEL, Vollkosten</t>
  </si>
  <si>
    <t xml:space="preserve">Der Unterschied des Unternehmergewinnes zum Gewinn laut Buchführung liegt darin, dass in der Buchführung nur </t>
  </si>
  <si>
    <t xml:space="preserve">die tatsächlich gezahlten Zinsen, Pachten und Löhne berücksichtigt werden. Folglich ist der Gewinn lt. Buchführung </t>
  </si>
  <si>
    <t>wesentlich höher als das kalkulatorische Betriebszweigergebnis.</t>
  </si>
  <si>
    <t>Weil die Bewertung der Ansprüche an Kapital und Arbeit mit pauschalen Ansätzen erfolgt, darf der Vollkostenansatz</t>
  </si>
  <si>
    <t xml:space="preserve">Deckungsbeitragsrechnung das geeignete Instrument, in Verbindung mit der betriebsindividuellen Ermittlung der </t>
  </si>
  <si>
    <t xml:space="preserve">Produktionsverfahrens dienen. Sie stellt vielmehr eine Orientierungshilfe für die langfristige betriebliche Entwicklung </t>
  </si>
  <si>
    <t>dar (Konkurrenzfähigkeit von Betrieb und Standort).</t>
  </si>
  <si>
    <t xml:space="preserve">Mit dem Maßstab "Verwertung der Arbeit" lässt sich vor allem die Rentabilität sehr unterschiedlicher Betriebszweige </t>
  </si>
  <si>
    <t xml:space="preserve">vergleichen, bei denen ein Vergleich auf Ebene des Deckungsbeitrages keinen Sinn machen würde ( z.B. Vergleich </t>
  </si>
  <si>
    <t>erreichter Std.lohn für ständige AK</t>
  </si>
  <si>
    <t xml:space="preserve">Werden von der Summe aller Kosten die Neben- und Ausgleichsleistungen abgezogen, erhält man den </t>
  </si>
  <si>
    <t xml:space="preserve">„kostendeckenden Erlös für das Hauptprodukt“. Entspricht dieser dem Erzeugerpreis (einschl. MwSt.) für das </t>
  </si>
  <si>
    <t>Hauptprodukt, so ist das kalkulatorische Betriebszweigergebnis (= der Unternehmergewinn) gerade Null.</t>
  </si>
  <si>
    <t>K  ra f  t f u t t e r b e d a r f  in dt in Abhängigkeit von Milchleistung u. Grundfutterleistung</t>
  </si>
  <si>
    <t>Produktionsverfahren:</t>
  </si>
  <si>
    <t>Milchkuh; Fleckvieh</t>
  </si>
  <si>
    <t>kg/Jahr</t>
  </si>
  <si>
    <t>davon Grundfutterleistung</t>
  </si>
  <si>
    <t>o. Mwst.</t>
  </si>
  <si>
    <t>Z.28 + Z.22+ Arbeitskosten Fu-bau</t>
  </si>
  <si>
    <t>(Z.30 / (Z.21+AKh-Fubau))</t>
  </si>
  <si>
    <t>Z.7 - Z.43</t>
  </si>
  <si>
    <t>bzw.</t>
  </si>
  <si>
    <t>natural</t>
  </si>
  <si>
    <t>Hauptprodukt</t>
  </si>
  <si>
    <r>
      <t>€</t>
    </r>
    <r>
      <rPr>
        <sz val="11"/>
        <rFont val="Arial"/>
        <family val="2"/>
      </rPr>
      <t>/Einh.</t>
    </r>
  </si>
  <si>
    <t>Preis Hauptprodukt</t>
  </si>
  <si>
    <r>
      <t>€</t>
    </r>
    <r>
      <rPr>
        <sz val="11"/>
        <rFont val="Arial"/>
        <family val="2"/>
      </rPr>
      <t>/kg</t>
    </r>
  </si>
  <si>
    <t>Nebenprodukte</t>
  </si>
  <si>
    <t>Kalb</t>
  </si>
  <si>
    <r>
      <t>€</t>
    </r>
    <r>
      <rPr>
        <sz val="11"/>
        <rFont val="Arial"/>
        <family val="2"/>
      </rPr>
      <t>/St.</t>
    </r>
  </si>
  <si>
    <t>St. /Jahr</t>
  </si>
  <si>
    <t>Altkuh</t>
  </si>
  <si>
    <t>anteiliger Altkuherlös</t>
  </si>
  <si>
    <t>Erlös Altkuh</t>
  </si>
  <si>
    <t>Nutz.dauer je Kuh</t>
  </si>
  <si>
    <t>Schlachtgewicht Altkuh</t>
  </si>
  <si>
    <t>kg/St.</t>
  </si>
  <si>
    <t>Mineraldüngerwert</t>
  </si>
  <si>
    <t>m³/Einh.</t>
  </si>
  <si>
    <t>Färsenpreis</t>
  </si>
  <si>
    <r>
      <t>€</t>
    </r>
    <r>
      <rPr>
        <sz val="10"/>
        <rFont val="Arial"/>
        <family val="2"/>
      </rPr>
      <t>/St.</t>
    </r>
  </si>
  <si>
    <t>Kraftfutter / Mischfutter</t>
  </si>
  <si>
    <t>Fu-mi.-Nr.: siehe Reg.blatt "Preise"</t>
  </si>
  <si>
    <t xml:space="preserve">dt/Einh. </t>
  </si>
  <si>
    <r>
      <t>Sonstige variable Kosten</t>
    </r>
    <r>
      <rPr>
        <sz val="12"/>
        <rFont val="Arial"/>
        <family val="2"/>
      </rPr>
      <t xml:space="preserve"> </t>
    </r>
  </si>
  <si>
    <t>Tierarzt, Medik., Klauenpfl.</t>
  </si>
  <si>
    <t>kontinuierliche Abkalbungen;  Sicherheitszuschlag von:</t>
  </si>
  <si>
    <r>
      <t>Energie:</t>
    </r>
    <r>
      <rPr>
        <sz val="10"/>
        <rFont val="Arial"/>
        <family val="2"/>
      </rPr>
      <t xml:space="preserve"> sächs. Erg.:0,16 kwh je kg Milch (0,11-0,21); entspr- 44-64 € je Kuh-GV; </t>
    </r>
  </si>
  <si>
    <r>
      <t>sächs. Erg.: Wasser+Energie:</t>
    </r>
    <r>
      <rPr>
        <sz val="10"/>
        <rFont val="Arial"/>
        <family val="2"/>
      </rPr>
      <t xml:space="preserve"> 73 -100 € je Kuh-GV</t>
    </r>
  </si>
  <si>
    <t>Festmist, Traktorentmistung</t>
  </si>
  <si>
    <t>Tiefstreustall</t>
  </si>
  <si>
    <t>Tretmiststall</t>
  </si>
  <si>
    <t>Netto je Kuh, ohne Baunebenkosten</t>
  </si>
  <si>
    <t>mit Baunebenkosten (10%)</t>
  </si>
  <si>
    <t>ohne Fahrsilos</t>
  </si>
  <si>
    <t>mit Fahrsilos</t>
  </si>
  <si>
    <t>kg = 1 GV</t>
  </si>
  <si>
    <t>Silagel.raum je GV</t>
  </si>
  <si>
    <t>€/m3</t>
  </si>
  <si>
    <t>GV je Kuhplatz</t>
  </si>
  <si>
    <t xml:space="preserve">MLP, ZV-Beitrag </t>
  </si>
  <si>
    <t>112 Tage mal 26,2 MJ ME/Tag</t>
  </si>
  <si>
    <t>Spannbreite: 2,7 bis 7,7 dt lt. KTBL,</t>
  </si>
  <si>
    <t>ca. 125 - 560 kg LG</t>
  </si>
  <si>
    <t>Arbeitszeitbedarf (ohne Futterbau)</t>
  </si>
  <si>
    <t>Gesamtenergieverbrauch:</t>
  </si>
  <si>
    <t>li</t>
  </si>
  <si>
    <t>MJ NEL/li</t>
  </si>
  <si>
    <t>MJ ME/li</t>
  </si>
  <si>
    <t>2000 ff.: Durchschnittspreis für Ba. Wü.,hier: Hkl. R ("gesamt");  amtl. Preisfeststellung nach 4. DVO zum Vieh u.-Fleischgesetz; Quelle: LLM; Vorabmitteilung vor Veröffentlichung</t>
  </si>
  <si>
    <t>2) für die Wettbewerbsfähigkeit</t>
  </si>
  <si>
    <r>
      <t>Deckungsbeitrag</t>
    </r>
    <r>
      <rPr>
        <b/>
        <sz val="11"/>
        <rFont val="Arial"/>
        <family val="2"/>
      </rPr>
      <t xml:space="preserve"> </t>
    </r>
    <r>
      <rPr>
        <sz val="11"/>
        <rFont val="Arial"/>
        <family val="2"/>
      </rPr>
      <t>(nach Grundfutter, mit Zinsansatz u.ggf. Prämien)</t>
    </r>
    <r>
      <rPr>
        <vertAlign val="superscript"/>
        <sz val="11"/>
        <rFont val="Arial"/>
        <family val="2"/>
      </rPr>
      <t>2)</t>
    </r>
  </si>
  <si>
    <t>2000 ff.: Durchschnittspreis für Ba. Wü., Hkl. O und P (geschätzt u. interpoliert); Grundlage:amtl. Preisfeststellung nach 4. DVO zum Vieh u.-Fleischgesetz; Quelle: LLM; Vorabmitteilung vor Veröffentlichung</t>
  </si>
  <si>
    <t>2000 ff.: Durchschnittspreis für Ba. Wü., Hkl. O und R (geschätzt u. interpoliert); Grundlage: amtl. Preisfeststellung nach 4. DVO zum Vieh u.-Fleischgesetz; Quelle: LLM; Vorabmitteilung vor Veröffentlichung</t>
  </si>
  <si>
    <t>MLP: Quelle:KTBL = 20-25 DM/Kuh, Auskunft LKV: 10/2000: 32,50 bis 43,- DM pro Kuh je nach Methode(Fremdprüfung = Regelfall = 43,50 DM/Kuh; Eigenprüfung =32,50 DM;  132 DM p. Betrieb u. Jahr unabhängig v.d. Betriebsgröße als Sockelbetrag</t>
  </si>
  <si>
    <t xml:space="preserve">Versicherung/Verlustausgleich, TSK </t>
  </si>
  <si>
    <t>Kraftfuttterbedarf in Abhängigkeit von der Leistung / Grundfutterleistung und Kraftfuttereffizienz (noch nicht mit dem Arbeitsblatt verknüpft !!!!)</t>
  </si>
  <si>
    <t>Stadtkreis</t>
  </si>
  <si>
    <t>Stuttgart</t>
  </si>
  <si>
    <t>Landkreise</t>
  </si>
  <si>
    <t>Böblingen</t>
  </si>
  <si>
    <t>Esslingen</t>
  </si>
  <si>
    <t>Göppingen</t>
  </si>
  <si>
    <t>Ludwigsburg</t>
  </si>
  <si>
    <t>Rems-Murr-Kreis</t>
  </si>
  <si>
    <t>Heilbronn</t>
  </si>
  <si>
    <t>Landkreis</t>
  </si>
  <si>
    <t>Hohenlohekreis</t>
  </si>
  <si>
    <t>Schwäbisch Hall</t>
  </si>
  <si>
    <t>Main-Tauber_kreis</t>
  </si>
  <si>
    <t>Heidenheim</t>
  </si>
  <si>
    <t>Ostalbkreis</t>
  </si>
  <si>
    <t>2011: 118€ Aufzuchtkosten, einschl. arbeit(Kalk.dat. Ri-mast)</t>
  </si>
  <si>
    <t>2011: Notierung</t>
  </si>
  <si>
    <t>2011: kg-Preisim Verhältnis FLV-weibl.</t>
  </si>
  <si>
    <t>gesch.</t>
  </si>
  <si>
    <t xml:space="preserve"> + % jährl.</t>
  </si>
  <si>
    <t>Gülleausbringung: Fortschreibung über Indices: Stat BA; Genesis Online, Betriebsmittel, Reparaturen, neue Maschinen;  Ergebnis - 61221-0002</t>
  </si>
  <si>
    <t>SHA</t>
  </si>
  <si>
    <t>Tettnang</t>
  </si>
  <si>
    <t>Bodnegg</t>
  </si>
  <si>
    <t>Wangen</t>
  </si>
  <si>
    <t>Milchpreismengenzuschläge, neun Molkereien in BW, Quelle: Bwagrar, 39/2012, für 2011</t>
  </si>
  <si>
    <t>150 t</t>
  </si>
  <si>
    <t>500 t</t>
  </si>
  <si>
    <t>1000 t</t>
  </si>
  <si>
    <t>Durchschnitt</t>
  </si>
  <si>
    <t>?</t>
  </si>
  <si>
    <t>PF</t>
  </si>
  <si>
    <t>MOS</t>
  </si>
  <si>
    <t>Halter</t>
  </si>
  <si>
    <t>Bestand</t>
  </si>
  <si>
    <t>Halter mit</t>
  </si>
  <si>
    <t>MLP</t>
  </si>
  <si>
    <t>Kühe unter</t>
  </si>
  <si>
    <t>MLF (18% XP) III</t>
  </si>
  <si>
    <t>2010 ff.: Durchschnittspreis Baden-Württemberg nach Milchmelde-VO; Durchschn. aller Güteklassen;  3,70 % Fett, 3,4 % Eiweiß; einschl. aller Zu-u. Abschläge sowie mit Nach- und Abschlußzahlungen. Ab 2011 4,0% Fett und 3,4 % EiweißQuelle: LLM</t>
  </si>
  <si>
    <t>Quelle: "Agrarmärkte 2013", LEL - LFL, S18</t>
  </si>
  <si>
    <t>II</t>
  </si>
  <si>
    <t>III</t>
  </si>
  <si>
    <t>IV</t>
  </si>
  <si>
    <t>Kalbinnen</t>
  </si>
  <si>
    <t>Jungkühe</t>
  </si>
  <si>
    <t>Mitellwert</t>
  </si>
  <si>
    <t>Mittelwert gewichtet</t>
  </si>
  <si>
    <t>ZWKL (2013)</t>
  </si>
  <si>
    <t>i.A. an Rindcash</t>
  </si>
  <si>
    <t>ausgewählt, Nr.:</t>
  </si>
  <si>
    <t xml:space="preserve">Angewandte Mehrwertsteuersätze </t>
  </si>
  <si>
    <t>Werte:</t>
  </si>
  <si>
    <t>Mehrwertsteuer</t>
  </si>
  <si>
    <t>mit Mehrwertsteuer (Pauschalierung)</t>
  </si>
  <si>
    <t>ohne Mehrwertsteuer (Option)</t>
  </si>
  <si>
    <t>Dropdownlisten</t>
  </si>
  <si>
    <t>2013er Werte aus Kalk.dat Marrktfrüchte übernommen</t>
  </si>
  <si>
    <t>P205</t>
  </si>
  <si>
    <t>K20</t>
  </si>
  <si>
    <t>Milchviehgülle: Stammdaten-org. Dünger:(Acker/Grünland, 10 % TS) ==&gt;&gt;</t>
  </si>
  <si>
    <t>Stammdaten Näbi-light - org. Dünger</t>
  </si>
  <si>
    <t>Quelle: StaLA</t>
  </si>
  <si>
    <t>OG</t>
  </si>
  <si>
    <t>VS</t>
  </si>
  <si>
    <t>FR</t>
  </si>
  <si>
    <t>KN</t>
  </si>
  <si>
    <t>WT</t>
  </si>
  <si>
    <t>BL</t>
  </si>
  <si>
    <t>FN</t>
  </si>
  <si>
    <t>Quelle: StaLa und  LEL-Schwäb.Gmünd; Agrarmärkte (zuletzt 2014, S. 245)</t>
  </si>
  <si>
    <t>Investitionsbedarf Aufzuchtrinder;  KTBL -Betriebsplanung 2014/15 , S. 620</t>
  </si>
  <si>
    <t>bis Woche 48 (Annahme 90 kg Kalb)</t>
  </si>
  <si>
    <t xml:space="preserve"> Verkaufsergebnisse Rinderunion BW. </t>
  </si>
  <si>
    <t>bis Woche 48 (Annahme 90 kg Kalb). 2,55 / 2,44 *90 kg</t>
  </si>
  <si>
    <t>5,13 /4,82 *90</t>
  </si>
  <si>
    <t>2,88 /2,76*9*90</t>
  </si>
  <si>
    <t>lt. Rindcash</t>
  </si>
  <si>
    <t>Zahlungsanspruch Ø</t>
  </si>
  <si>
    <t xml:space="preserve"> Prämien aus Zahlungsansprüchen in €/ha</t>
  </si>
  <si>
    <t>FAKT (ab 2015)</t>
  </si>
  <si>
    <r>
      <rPr>
        <b/>
        <sz val="10"/>
        <rFont val="Arial"/>
        <family val="2"/>
      </rPr>
      <t xml:space="preserve">FAKT-Verfahrensspezifische Ausgleichsleistungen in €/ha </t>
    </r>
    <r>
      <rPr>
        <sz val="10"/>
        <rFont val="Arial"/>
        <family val="2"/>
      </rPr>
      <t xml:space="preserve">
aus dem Förderprogramm für Agrarumwelt, Klimaschutz und Tierwohl. Alle Prämiern stehen unter dem  Vorbehalt der abschließenden Kalkulation und EU Genehmigung.</t>
    </r>
  </si>
  <si>
    <t>Tierprämien - Sicherung landschaftspflegender gefährdeter Tierrassen</t>
  </si>
  <si>
    <t>Vorderwälder Rind - Milchkuh und Zuchtbulle</t>
  </si>
  <si>
    <t>Vorderwälder Rind - Mutterkuh</t>
  </si>
  <si>
    <r>
      <t>FAKT- Verfahrensspezifische Ausgleichsleistungen -FAKT-</t>
    </r>
    <r>
      <rPr>
        <b/>
        <vertAlign val="superscript"/>
        <sz val="14"/>
        <rFont val="Arial"/>
        <family val="2"/>
      </rPr>
      <t xml:space="preserve"> 1)</t>
    </r>
  </si>
  <si>
    <t>1) vorläufige Werte, Werte werden programmtechnisch in dieser Datei nicht verarbeitet</t>
  </si>
  <si>
    <r>
      <t>Ausgleichsleistungen Fläche</t>
    </r>
    <r>
      <rPr>
        <b/>
        <vertAlign val="superscript"/>
        <sz val="14"/>
        <rFont val="Arial"/>
        <family val="2"/>
      </rPr>
      <t xml:space="preserve"> 1)</t>
    </r>
  </si>
  <si>
    <t xml:space="preserve">von Art und Intensität dieser Flächennutzung. Ausnahme: Über das  FAKT wird weiterhin das Halten gefährdeter </t>
  </si>
  <si>
    <t>Auch Ausgleichsleistungen (FAKT, Ausgleichszulage, GAP-Prämie) sind  berücksichtigt.</t>
  </si>
  <si>
    <r>
      <t>Festkosten:</t>
    </r>
    <r>
      <rPr>
        <sz val="12"/>
        <rFont val="Arial"/>
        <family val="2"/>
      </rPr>
      <t xml:space="preserve"> es sind Neubaukostenwerte für eine Bestandsgröße ab ca. 80  Tieren unterstellt. Es wurde</t>
    </r>
  </si>
  <si>
    <t>10 kg Heu entspricht ca. 50 MJ NEL ((5,5 MJ NEL je kg TM---&gt; Kalk.dat Fu-bau), also (fast) vernachläßigbare  Größenordnung</t>
  </si>
  <si>
    <t>10 kg Heu (bis 75 kg LG)  entspricht ca. 50 MJ NEL ((5,5 MJ NEL je kg TM---&gt; Kalk.dat Fu-bau), also (fast) vernachläßigbare  Größenordnung</t>
  </si>
  <si>
    <r>
      <t xml:space="preserve">(variable </t>
    </r>
    <r>
      <rPr>
        <sz val="10"/>
        <rFont val="Arial"/>
        <family val="2"/>
      </rPr>
      <t>Kosten abzgl. verfahrensabhängige Ausgleichsleistungen: MEKA / FAKT, AZL)</t>
    </r>
  </si>
  <si>
    <t>Grundfutter:</t>
  </si>
  <si>
    <t>Hinterwälder/Limpurger/Braunvieh alte Zuchtrichtung. Milchkuh</t>
  </si>
  <si>
    <t>Hinterwälder/Limpurger/Braunvieh alte Zuchtrichtunfg Mutterkuh</t>
  </si>
  <si>
    <t>Hinterwälder/Limpurger/Braunvieh alte Zuchtrichtung,  Zuchtbulle</t>
  </si>
  <si>
    <r>
      <t>M i l c h v i e h s t a l l</t>
    </r>
    <r>
      <rPr>
        <sz val="10"/>
        <rFont val="Arial"/>
        <family val="2"/>
      </rPr>
      <t xml:space="preserve"> ohne Nachzucht, Güllelager für 6 Monate, Silagefütterung, (12 m3 / GV, Flachsilo)</t>
    </r>
  </si>
  <si>
    <t>Quellen: geschätzt in Anlehnung an KTBL</t>
  </si>
  <si>
    <t>Frank Gräter</t>
  </si>
  <si>
    <t>( Tel.: 07171 - 917 - 228 )</t>
  </si>
  <si>
    <t>Abt. II (Nachhaltige Unternehmensentwicklung)</t>
  </si>
  <si>
    <t>Preisstatistik S.48</t>
  </si>
  <si>
    <t>auszuwählen da der optierende Landwirt seine MwSt.-Salden mit dem Finanzamt ausgleicht.</t>
  </si>
  <si>
    <t>d. h. für den pauschalierenden als auch den optierenden Landwirt. Im letzteren Fall ist die Auswahl "ohne MwSt. (Option)"</t>
  </si>
  <si>
    <t xml:space="preserve">berücksichtigt werden. Es ist ein unverbilligter Zinssatz voreingestellt. </t>
  </si>
  <si>
    <t>Akh-Anteile</t>
  </si>
  <si>
    <t>Z.21 - Z.28</t>
  </si>
  <si>
    <t xml:space="preserve">   Z.29+Z.23+Arbeitskosten Futterbau</t>
  </si>
  <si>
    <t xml:space="preserve">   Z.31 / Z.22+Akh-Fu.bau</t>
  </si>
  <si>
    <t xml:space="preserve">   Z.29+Z.24+Z.25</t>
  </si>
  <si>
    <t>Z.15+Z.18+Z.20+Z.28</t>
  </si>
  <si>
    <t>(volle Entlohnung von Gemeinkosten)</t>
  </si>
  <si>
    <t>Z.34-Z.35</t>
  </si>
  <si>
    <t>Z. 8+Z.17-Z.39-Z.40</t>
  </si>
  <si>
    <t xml:space="preserve">    vermindert um Ausgleichsleistungen (Ausgleichszulage, FAKT, EU-Flächenprämien) </t>
  </si>
  <si>
    <t xml:space="preserve">unter der Annahme, dass alle anderen Faktoren voll entlohnt werden. </t>
  </si>
  <si>
    <r>
      <t xml:space="preserve">Die </t>
    </r>
    <r>
      <rPr>
        <b/>
        <sz val="12"/>
        <rFont val="Arial"/>
        <family val="2"/>
      </rPr>
      <t xml:space="preserve">"Verwertung knapper Faktoren" </t>
    </r>
    <r>
      <rPr>
        <sz val="12"/>
        <rFont val="Arial"/>
        <family val="2"/>
      </rPr>
      <t xml:space="preserve">zeigt die tatsächlich erreichte Verwertung der Faktoren Arbeit und Stallplatz </t>
    </r>
  </si>
  <si>
    <r>
      <t xml:space="preserve">Gebäudekosten / Jahr) </t>
    </r>
    <r>
      <rPr>
        <sz val="12"/>
        <rFont val="Arial"/>
        <family val="2"/>
      </rPr>
      <t xml:space="preserve">im langfristigen Betrachtungszeitraum. </t>
    </r>
  </si>
  <si>
    <r>
      <t xml:space="preserve">Folienseite 5: </t>
    </r>
    <r>
      <rPr>
        <sz val="12"/>
        <rFont val="Arial"/>
        <family val="2"/>
      </rPr>
      <t xml:space="preserve"> Dargestellt wird die</t>
    </r>
    <r>
      <rPr>
        <b/>
        <sz val="12"/>
        <rFont val="Arial"/>
        <family val="2"/>
      </rPr>
      <t xml:space="preserve"> Verwertung  der Arbeit </t>
    </r>
    <r>
      <rPr>
        <sz val="12"/>
        <rFont val="Arial"/>
        <family val="2"/>
      </rPr>
      <t xml:space="preserve">(erzielbarer Stundenlohn) und </t>
    </r>
    <r>
      <rPr>
        <b/>
        <sz val="12"/>
        <rFont val="Arial"/>
        <family val="2"/>
      </rPr>
      <t>des Stallplatzes</t>
    </r>
    <r>
      <rPr>
        <sz val="12"/>
        <rFont val="Arial"/>
        <family val="2"/>
      </rPr>
      <t xml:space="preserve"> (max. </t>
    </r>
  </si>
  <si>
    <r>
      <t>Folienseite 6:</t>
    </r>
    <r>
      <rPr>
        <sz val="12"/>
        <rFont val="Arial"/>
        <family val="2"/>
      </rPr>
      <t xml:space="preserve"> Dargestellt wird die Verwertung der Arbeit (erreichter Stundenlohn) </t>
    </r>
  </si>
  <si>
    <t>bei mittelfristiger Betrachtung, d.h. ohne Berücksichtigung von Gebäudekosten.</t>
  </si>
  <si>
    <r>
      <t xml:space="preserve">Das Registerblatt </t>
    </r>
    <r>
      <rPr>
        <b/>
        <sz val="12"/>
        <rFont val="Arial"/>
        <family val="2"/>
      </rPr>
      <t>Preisstatistik</t>
    </r>
    <r>
      <rPr>
        <sz val="12"/>
        <rFont val="Arial"/>
        <family val="2"/>
      </rPr>
      <t xml:space="preserve"> zeigt die längerfristigen Preisentwicklungen  beim Milchpreis, dem Schlachtkuhpreis und den Kälberpreisen.</t>
    </r>
  </si>
  <si>
    <t>2014 (349.144)</t>
  </si>
  <si>
    <t>2014  (8674)</t>
  </si>
  <si>
    <t>Quelle: Statistisches Landesamt Baden - Württemberg, (Stat. Berichte, zuletzt: C III 1- j / 14 vom 20.01.2015</t>
  </si>
  <si>
    <t>Milchleistung basiert auf Erzeugungsschätzung</t>
  </si>
  <si>
    <t>aktueller Daten nicht verfügbar, da die BLE die</t>
  </si>
  <si>
    <t>Mwst.-Faktor</t>
  </si>
  <si>
    <t>36b</t>
  </si>
  <si>
    <t>€/kg bzw. St.</t>
  </si>
  <si>
    <t xml:space="preserve">  - je kg Milch bzw. je Färse -</t>
  </si>
  <si>
    <r>
      <t>Kostendeckender Erlös</t>
    </r>
    <r>
      <rPr>
        <b/>
        <sz val="11"/>
        <color indexed="10"/>
        <rFont val="Arial"/>
        <family val="2"/>
      </rPr>
      <t xml:space="preserve"> (ohne. Mwst.)</t>
    </r>
  </si>
  <si>
    <t xml:space="preserve">Hauptprodukt langfristig </t>
  </si>
  <si>
    <r>
      <t>Kostendeckender Erlös für</t>
    </r>
    <r>
      <rPr>
        <sz val="13"/>
        <rFont val="Arial"/>
        <family val="2"/>
      </rPr>
      <t xml:space="preserve"> </t>
    </r>
    <r>
      <rPr>
        <b/>
        <sz val="13"/>
        <rFont val="Arial"/>
        <family val="2"/>
      </rPr>
      <t>Hauptprodukt langfristig</t>
    </r>
    <r>
      <rPr>
        <b/>
        <sz val="13"/>
        <color indexed="10"/>
        <rFont val="Arial"/>
        <family val="2"/>
      </rPr>
      <t xml:space="preserve"> (ohne Mwst.)</t>
    </r>
  </si>
  <si>
    <r>
      <t>Kostendeckender Erlös für</t>
    </r>
    <r>
      <rPr>
        <sz val="13"/>
        <rFont val="Arial"/>
        <family val="2"/>
      </rPr>
      <t xml:space="preserve"> </t>
    </r>
    <r>
      <rPr>
        <b/>
        <sz val="13"/>
        <rFont val="Arial"/>
        <family val="2"/>
      </rPr>
      <t>Hauptprodukt langfristig</t>
    </r>
    <r>
      <rPr>
        <b/>
        <sz val="13"/>
        <color indexed="10"/>
        <rFont val="Arial"/>
        <family val="2"/>
      </rPr>
      <t xml:space="preserve"> (ohne Mwst.)</t>
    </r>
  </si>
  <si>
    <t>Entwicklung der Milchviehhaltung in Baden-Württemberg 1980 bis 2014</t>
  </si>
  <si>
    <t>Übersicht Produktionsverfahren</t>
  </si>
  <si>
    <t>Grünland</t>
  </si>
  <si>
    <t>Ackerfutter</t>
  </si>
  <si>
    <t>pflanzliche Sunstrate für Biogasanlagen</t>
  </si>
  <si>
    <t>Koferment für Biogasanlagen</t>
  </si>
  <si>
    <t>(Grassilage in Fremdmechanisierung)1)</t>
  </si>
  <si>
    <t>Grünfütterung</t>
  </si>
  <si>
    <t>Grassilage</t>
  </si>
  <si>
    <t>Grascobs</t>
  </si>
  <si>
    <t>Kleegras grün Klee-betont (4 Nutz.)</t>
  </si>
  <si>
    <t>Kleegras grün Gras-betont (4 Nutz)</t>
  </si>
  <si>
    <t>Kleegras Silage Gras-betont (4 Nutz)</t>
  </si>
  <si>
    <t>Luzernesilage</t>
  </si>
  <si>
    <t>Silomais Meka</t>
  </si>
  <si>
    <t>Silomais intensiv</t>
  </si>
  <si>
    <t>Zwischenfrucht Raps grün</t>
  </si>
  <si>
    <t>GPS Weizen</t>
  </si>
  <si>
    <t>Mais LKS</t>
  </si>
  <si>
    <t>Mais CCM</t>
  </si>
  <si>
    <t>Silomais Biogas ab Feld</t>
  </si>
  <si>
    <t>Silomais Biogas ex Silo</t>
  </si>
  <si>
    <t>GPS Tritic.-Biogas                 ab Feld</t>
  </si>
  <si>
    <t>GPS Tritic. Biogas ex Silo</t>
  </si>
  <si>
    <t>Kleegrassilage Biogas ab Feld</t>
  </si>
  <si>
    <t>Kleegrassilage Biogas ex Silo</t>
  </si>
  <si>
    <t>Grassil. Biogas ab Feld</t>
  </si>
  <si>
    <t>Grassil. Biogas ex Silo</t>
  </si>
  <si>
    <t>Grünroggensil. Vorfrucht Biogas ex Silo</t>
  </si>
  <si>
    <t>Grünroggen ZWF + Silomais HF Biogas ex Silo</t>
  </si>
  <si>
    <t>Sudangras Biogas VK</t>
  </si>
  <si>
    <t>Sonnenblumen Biogas VK</t>
  </si>
  <si>
    <t>Zuckerhirse Biogas VK</t>
  </si>
  <si>
    <t>GPS+Sudangras ex Silo</t>
  </si>
  <si>
    <t>Zuckerhirse Hauptfrucht ex Silo</t>
  </si>
  <si>
    <t>Durchw. Silphie ex Silo</t>
  </si>
  <si>
    <t>Ertragsniveau/Produktivität des Standorts</t>
  </si>
  <si>
    <t>3 Nutz. ungünstig</t>
  </si>
  <si>
    <t>3 Nutz. günstig</t>
  </si>
  <si>
    <t>5 Nutz. günstig</t>
  </si>
  <si>
    <t>3 Nutz. eigen</t>
  </si>
  <si>
    <t>3 Nutz. fremd</t>
  </si>
  <si>
    <t>5 Nutz. eigen</t>
  </si>
  <si>
    <t>3 Nutz. Ballen</t>
  </si>
  <si>
    <t>2 Nutz. ext.</t>
  </si>
  <si>
    <t>3 Nutz.</t>
  </si>
  <si>
    <t>5 Nutz.</t>
  </si>
  <si>
    <t>Standw. ext.</t>
  </si>
  <si>
    <t>Standw. int.</t>
  </si>
  <si>
    <t>Portionsweide</t>
  </si>
  <si>
    <t xml:space="preserve">niedrig </t>
  </si>
  <si>
    <t>3 Nutz</t>
  </si>
  <si>
    <t>Ertrag / Aufwuchs (brutto)</t>
  </si>
  <si>
    <t>dt TM/ha</t>
  </si>
  <si>
    <t>Abfuhr (Ertrag ab Feld)</t>
  </si>
  <si>
    <t>dt Frischmasse</t>
  </si>
  <si>
    <t>dt FM/ha</t>
  </si>
  <si>
    <t>Futterlieferung Hauptprodukt (netto)</t>
  </si>
  <si>
    <t>nach Feld- und Konservierungsverlusten:</t>
  </si>
  <si>
    <t xml:space="preserve">Nährstoffeinheiten/ha (netto): </t>
  </si>
  <si>
    <t>in 10 MJ NEL/ha bzw. m3 Methan/ha (bei Biogas-Kofermenten)</t>
  </si>
  <si>
    <t>in 10 MJ ME/ha bzw. GJ/ha (bei Biogas-Kofermenten)</t>
  </si>
  <si>
    <t>Leistungen A (Verfahrensabh. Ausgl.leist.)</t>
  </si>
  <si>
    <t xml:space="preserve">   Saatgut</t>
  </si>
  <si>
    <t xml:space="preserve">   Düngung (Nettoentzug x Min.-düngerpreis - Güllerücklief.)</t>
  </si>
  <si>
    <t xml:space="preserve">   Pflanzenschutz </t>
  </si>
  <si>
    <t xml:space="preserve">   Variable Maschinenkosten (eig. Masch.)</t>
  </si>
  <si>
    <t xml:space="preserve">   Lohnmaschinen / Lohnarbeit</t>
  </si>
  <si>
    <t xml:space="preserve">   Sonstige Kosten (Siloabdeckung, Hagelversicherung u.ä.)</t>
  </si>
  <si>
    <t xml:space="preserve">   Variable Lohnkosten (nichtständige AK)</t>
  </si>
  <si>
    <t>Deckungsbeitrag (ohne Prämien, ohne Zinsansatz)</t>
  </si>
  <si>
    <t xml:space="preserve">  + Prämien</t>
  </si>
  <si>
    <t xml:space="preserve">  - Zinsansatz Umlaufvermögen</t>
  </si>
  <si>
    <t>Deckungsbeitrag (inkl. Prämien und Zinsansatz)</t>
  </si>
  <si>
    <t>€/10 MJ NEL bzw /m3 Methan</t>
  </si>
  <si>
    <t>€/10 MJ ME bzw. €/GJ ME</t>
  </si>
  <si>
    <t>Arbeitszeitbedarf</t>
  </si>
  <si>
    <t>Lagerraumbedarf (Abfuhr)</t>
  </si>
  <si>
    <t>m³/ha</t>
  </si>
  <si>
    <t xml:space="preserve">   Lohnansatz (für ständige AK)</t>
  </si>
  <si>
    <t xml:space="preserve">   Feste Kosten Lagerraum</t>
  </si>
  <si>
    <t xml:space="preserve">   Feste Maschinenkosten (bei Eigenmech.)</t>
  </si>
  <si>
    <t xml:space="preserve">   Feste Kosten sonst. Gebäude</t>
  </si>
  <si>
    <t xml:space="preserve">   Kosten für Fläche und Zahlungsanspruch (Pachtansatz)</t>
  </si>
  <si>
    <t xml:space="preserve">   Sonstige Festkosten</t>
  </si>
  <si>
    <t>Summe feste Spezial- und Gemeinkosten</t>
  </si>
  <si>
    <t>Summe Leistungen (ohne Prämien)</t>
  </si>
  <si>
    <t xml:space="preserve">kalk. Betriebszweigergebnis ohne Prämien </t>
  </si>
  <si>
    <t xml:space="preserve">+ Prämien </t>
  </si>
  <si>
    <t xml:space="preserve">kalk. Betriebszweigergebnis inkl. Prämien </t>
  </si>
  <si>
    <t>Summe Kosten abzgl. aller Prämien</t>
  </si>
  <si>
    <t xml:space="preserve">(verfahrensspezif. Ausgl.-leist. und Prämien </t>
  </si>
  <si>
    <t>€/dt FM</t>
  </si>
  <si>
    <t>aus ZA) = kostendeckender Erlös, langfristig</t>
  </si>
  <si>
    <t>€/dt TM</t>
  </si>
  <si>
    <t xml:space="preserve">€/m³ </t>
  </si>
  <si>
    <t>Kosten abzgl. Ausgleichs-</t>
  </si>
  <si>
    <t>leistungen, feste Gebäude-</t>
  </si>
  <si>
    <t>kosten und Lagerraum</t>
  </si>
  <si>
    <t>€/10 MJ ME</t>
  </si>
  <si>
    <t>Summe Kosten (abzgl. aller Prämien) ohne</t>
  </si>
  <si>
    <t>Lagerraum</t>
  </si>
  <si>
    <t>€/10 MJ NEL bzw. /m3 Methan</t>
  </si>
  <si>
    <t>Kosten der Arbeitserledigung</t>
  </si>
  <si>
    <t>1) 100 ha-Betrieb unterstellt (s. "Festkosten Masch-Geb"),</t>
  </si>
  <si>
    <t>teils Lohnarbeiten bei Verf. mit Eigenmechanisierung: Häckseln GPS, Luzerne und Silomais, Heu (Rundballen pressen) und Aussaat Silomais, Nachsaat Grünland, Einfahren eigen!</t>
  </si>
  <si>
    <t>teils Lohnarbeiten bei Verf. mit Eigenmechanisierung: Häckseln GPS, Luzerne und Silomais, Heu (Rundballen pressen), Nachsaat Grünland, Einfahren eigen!</t>
  </si>
  <si>
    <t>zusätzliche Lohnarbeiten bei Fremdmechanisierung und bei Biogas-Kofermenten: Ernte, Einfahren und Festfahren Grassilage, Einfahren GPS und Mais, Gärrestrücklieferung bei Biogas</t>
  </si>
  <si>
    <t>zusätzliche Lohnarbeiten bei Fremdmechanisierung und bei Biogas-Kofermenten: Ernte, Einfahren und Festfahren Grassilage, Einfahren GPS und Mais, Güllerücklieferung bei Biogas</t>
  </si>
  <si>
    <t>LLM</t>
  </si>
  <si>
    <t>ohne Mwst. (vgl. Kalkulationsdaten Futterbau 2015)</t>
  </si>
  <si>
    <t>Zuschlag</t>
  </si>
  <si>
    <t>pauschalierender Betrieb</t>
  </si>
  <si>
    <t>Tiere:Nhb</t>
  </si>
  <si>
    <t>Tiere:Hb</t>
  </si>
  <si>
    <t>Durchschnittsrechner</t>
  </si>
  <si>
    <t>211949 = 2014</t>
  </si>
  <si>
    <t>Quellen: Landesverband Baden-Württemberg für Leistungsprüfungen in der Tierzucht e.V., Heft 1993,S.23 und Heft 2015,S.61 und S.85</t>
  </si>
  <si>
    <t xml:space="preserve">  Quelle: Statistisches Landesamt BW, Statistische Berichte; vom 18.01.2012, LEL -Schwäb. Gmünd ,Agrarmärkte 2015/S.242 u.a.</t>
  </si>
  <si>
    <t>Milchkühe,
 2014</t>
  </si>
  <si>
    <t>Halter 
2014</t>
  </si>
  <si>
    <t>Kühe je Halter, 2014</t>
  </si>
  <si>
    <t>Milchleistung: 2014</t>
  </si>
  <si>
    <t>Milchviehhaltung in Stadt- u. Landkreisen sowie Regierungsbezirken, Stand: 05/ 2015</t>
  </si>
  <si>
    <t>UL</t>
  </si>
  <si>
    <t>AA</t>
  </si>
  <si>
    <t>SIG</t>
  </si>
  <si>
    <t>RT</t>
  </si>
  <si>
    <t>KÜN</t>
  </si>
  <si>
    <t>WN</t>
  </si>
  <si>
    <t>TBB</t>
  </si>
  <si>
    <t>HDH</t>
  </si>
  <si>
    <t>Milchleistung je Kuh,   2014</t>
  </si>
  <si>
    <t>TUT</t>
  </si>
  <si>
    <t>LB</t>
  </si>
  <si>
    <t>HN</t>
  </si>
  <si>
    <t>RW</t>
  </si>
  <si>
    <t>Heidelberg, Mannheim</t>
  </si>
  <si>
    <t>HD/MA</t>
  </si>
  <si>
    <t>CW</t>
  </si>
  <si>
    <t>BB</t>
  </si>
  <si>
    <t>EM</t>
  </si>
  <si>
    <t>LÖ</t>
  </si>
  <si>
    <t>ES</t>
  </si>
  <si>
    <t>KA</t>
  </si>
  <si>
    <t>RA/BAD</t>
  </si>
  <si>
    <t>(Rhein-Neckarkreis)</t>
  </si>
  <si>
    <t>FDS</t>
  </si>
  <si>
    <t>Quelle: LEL -Schwäb. Gmünd ,Agrarmärkte 2015, S. 242</t>
  </si>
  <si>
    <t>Kreisdaten unter Datenschutz stellt</t>
  </si>
  <si>
    <t>Quelle: Agrarmärkte, Jahreshefte 1993 bis 2015, LEL GD</t>
  </si>
  <si>
    <t xml:space="preserve">Quelle: Agrarmärkte 2015, LEL, S. 8; </t>
  </si>
  <si>
    <t>LKV - Jahresbericht, 2015, S. 45</t>
  </si>
  <si>
    <t>Bayrische Landesanstalt: 06/2016</t>
  </si>
  <si>
    <t>werden. Vorgegeben ist hier 2016.</t>
  </si>
  <si>
    <r>
      <t xml:space="preserve">Die </t>
    </r>
    <r>
      <rPr>
        <b/>
        <sz val="12"/>
        <rFont val="Arial"/>
        <family val="2"/>
      </rPr>
      <t>"kurzfristige Betrachtung"</t>
    </r>
    <r>
      <rPr>
        <sz val="12"/>
        <rFont val="Arial"/>
        <family val="2"/>
      </rPr>
      <t xml:space="preserve"> (Z.38 bis Z.44) soll Aussagen darüber machen, bis zu welchem Erzeugerpreis bei fehlenden </t>
    </r>
  </si>
  <si>
    <t>3,4% Eiw.; 4,0% Fett)</t>
  </si>
  <si>
    <r>
      <t xml:space="preserve">Fleckvieh (FlV, </t>
    </r>
    <r>
      <rPr>
        <sz val="10"/>
        <rFont val="Arial"/>
        <family val="2"/>
      </rPr>
      <t>4,11% / 3,45%</t>
    </r>
    <r>
      <rPr>
        <sz val="12"/>
        <rFont val="Arial"/>
        <family val="2"/>
      </rPr>
      <t xml:space="preserve">) </t>
    </r>
  </si>
  <si>
    <r>
      <t>Holstein-Sbt. (Sbt,</t>
    </r>
    <r>
      <rPr>
        <sz val="10"/>
        <rFont val="Arial"/>
        <family val="2"/>
      </rPr>
      <t xml:space="preserve"> 4,07% / 3,33%</t>
    </r>
    <r>
      <rPr>
        <sz val="12"/>
        <rFont val="Arial"/>
        <family val="2"/>
      </rPr>
      <t>)</t>
    </r>
  </si>
  <si>
    <r>
      <t xml:space="preserve">Braunvieh (BrV, </t>
    </r>
    <r>
      <rPr>
        <sz val="10"/>
        <rFont val="Arial"/>
        <family val="2"/>
      </rPr>
      <t>4,23% / 3,53%</t>
    </r>
    <r>
      <rPr>
        <sz val="12"/>
        <rFont val="Arial"/>
        <family val="2"/>
      </rPr>
      <t>)</t>
    </r>
  </si>
  <si>
    <t>Bei den einzelnen Erzeuger- und Betriebsmittelpreisen sind 5 Jahre eingestellt. Die Werte für die Jahre 2016 u. 2017</t>
  </si>
  <si>
    <t>Ausgleichsleistung: MEKA / FAKT</t>
  </si>
  <si>
    <t>Weideprämie</t>
  </si>
  <si>
    <t xml:space="preserve">Die EU-Betriebsprämie betrug in spezialisierten Mlichviehbetrieben einschl. BIB ("Top up") 281,-€/ha LF. </t>
  </si>
  <si>
    <t>(Heft 64, Buchführungsergebnise 2014/15 in BW, S.150)</t>
  </si>
  <si>
    <t>Die gesamten Prämien (ohne aufwandsbezogene Prämiem)  betrugen 374,-€/ha</t>
  </si>
  <si>
    <t xml:space="preserve"> (+) Ausgleichsleistungen (MEKA / FAKT)</t>
  </si>
  <si>
    <t xml:space="preserve">1) einschl. 2,50,-€/dt Mahl-u.Mischkosten </t>
  </si>
  <si>
    <t xml:space="preserve">2) Vollkosten; (=Variable Kosten einschl. Flächen- und Maschinenfestkosten, Lagerraumkosten, Arbeitskosten(Lohnansatz)) vermindert um Ausgleichsleistungen </t>
  </si>
  <si>
    <t>Da die mehrtwertsteuerfreien Kostenanteile bei den Grundfutterarten unterschiedlich hoch sind, ist eine prozentual-lineare Berechnung hier nicht nicht möglich.</t>
  </si>
  <si>
    <t xml:space="preserve">Der Mwst.-Zuschlag in € je 10 MJNELfür pauschalierende Betriebe  wurde aus den Kalkulationsdaten Futterbau ermittelt (gerundete Werte). </t>
  </si>
  <si>
    <t>(Ausgleichszulage, MEKA/FAKT, EU-Betriebsprämie). Diese Prämien betrugen in Futterbaubetrieben i.Ø ca. 385,-€/ha LF. (Buchführungsergebnisse BW 14/15, Heft 64)</t>
  </si>
  <si>
    <t>anrechenbare Nährstoffe (bei 10 % TS)</t>
  </si>
  <si>
    <r>
      <t>Kostendeckender Erlös</t>
    </r>
    <r>
      <rPr>
        <sz val="18"/>
        <rFont val="Arial"/>
        <family val="2"/>
      </rPr>
      <t xml:space="preserve"> </t>
    </r>
  </si>
  <si>
    <t>für das Hauptprodukt</t>
  </si>
  <si>
    <t xml:space="preserve"> für das Hauptprodukt</t>
  </si>
  <si>
    <t>Kalkulationshilfen
 S. 49 - 51</t>
  </si>
  <si>
    <t>Z.8+Z.17 - Z.46</t>
  </si>
  <si>
    <t>Auswahlbox gelöscht, 29.06.2016, kk</t>
  </si>
  <si>
    <t>MEKA / FAKT</t>
  </si>
  <si>
    <r>
      <t>für das Hauptprodukt</t>
    </r>
    <r>
      <rPr>
        <b/>
        <sz val="18"/>
        <rFont val="Arial Narrow"/>
        <family val="2"/>
      </rPr>
      <t xml:space="preserve"> (mittelfristig)</t>
    </r>
  </si>
  <si>
    <t>Langtränke</t>
  </si>
  <si>
    <t>Normaltränke</t>
  </si>
  <si>
    <t>Bayrische Landesanstalt: 11/2021</t>
  </si>
  <si>
    <t>KTBL Betriebsplanung Landwirtschaft 2020/21 - Datensammlung : Seite 516, 58 Tierplätze, Liegeboxenlaufstall, Flüssigmist, Schieberentmistung aller Laufgänge: Investitionsbedarf: 10411,- € je Tierplatz; ohne Futterlager; ohne Mwst.; ohne Zuschuß;   (108 Kühe: 7411,-€)</t>
  </si>
  <si>
    <t>Baukosten unterteilt: 70 % für bauliche Anlagen; 23% für staionäre Technik; 7% für Mobile Technik</t>
  </si>
  <si>
    <t>Baukosten aufgeteilt in: 83% Gebäudekosten; 7% stationäre Technik; 10% mobile Technik</t>
  </si>
  <si>
    <t>MonoGAP 2021 10716,- €</t>
  </si>
  <si>
    <t>Preissteigerung von ca. 10% von 2018 bis 2021</t>
  </si>
  <si>
    <t>KTBL-Betriebsplanung Landwitschaft 2020/21. S.518</t>
  </si>
  <si>
    <t>MonGAP</t>
  </si>
  <si>
    <t>MonoGAP</t>
  </si>
  <si>
    <t>Quelle: LEL Agrarmärkte Dez 2021</t>
  </si>
  <si>
    <t>Quelle: MonoGAP</t>
  </si>
  <si>
    <t>Quelle: RINDCASH, Abt. 4 LEL</t>
  </si>
  <si>
    <t>Abt 4 LEL</t>
  </si>
  <si>
    <t>Abt. 2 LEL (Marktfrüchte)</t>
  </si>
  <si>
    <t>Ausgleichsleistung: FAKT</t>
  </si>
  <si>
    <t>Eigene Getreidemischung</t>
  </si>
  <si>
    <t>Mineralfutter</t>
  </si>
  <si>
    <t>ohne Mwst. (vgl. Kalkulationsdaten Futterbau 2021)</t>
  </si>
  <si>
    <r>
      <t>(Voll</t>
    </r>
    <r>
      <rPr>
        <sz val="10"/>
        <rFont val="Arial"/>
        <family val="2"/>
      </rPr>
      <t>kosten abzgl. Ausgleichsleistungen:FAKT, AZL, GAP-Prämie</t>
    </r>
    <r>
      <rPr>
        <b/>
        <sz val="10"/>
        <rFont val="Arial"/>
        <family val="2"/>
      </rPr>
      <t>)</t>
    </r>
  </si>
  <si>
    <t>Schlepper 54 KW, KTBL. Betriebsplanung Landw. 2020/21, S.72</t>
  </si>
  <si>
    <t>Sonstiges Grundfutter (GPS)</t>
  </si>
  <si>
    <t>KTBL-Betriebsplanung Landwitschaft 2020/21 S.518</t>
  </si>
  <si>
    <t>Quelle: KTBL-Betriebsplanung Landwirtschaft 2020/2021; S.536</t>
  </si>
  <si>
    <t>(insges. 12 Wochen Milchtränke) Aufzucht mit Vollmilch und Milchaustauscher</t>
  </si>
  <si>
    <t>KTBL Betriebsplanung Landwirtschaft 2020/21; S.538  Einzelboxen und Gruppenbuchten, mit Tierfstreu, 30 Tierplätze 2926,- € pro Tierplatz.</t>
  </si>
  <si>
    <t>KTBL. Betriebsplanung Landw. 2020/2021, S.72 Standardtraktor 67 KW</t>
  </si>
  <si>
    <t>€ pro m3, variable Kosten, bei 8 m3;  mit Befüllfräse -oder schild, horizontale Schnecken,  KTBL. Betriebsplanung Landw. 2020/21, S.128</t>
  </si>
  <si>
    <t>(1,40€/li ,75 % der Menge = verbilligt um 0,21€, Stand 12/21)</t>
  </si>
  <si>
    <t>(insges. 10 Wochen Milchtränke) Milchaustauscher</t>
  </si>
  <si>
    <t>KTBL -Betriebsplanung 2020/21 , S.516/ 517</t>
  </si>
  <si>
    <t>Quelle: in Anlehnung an KTBL-Datensammlung Betriebsplanung Landwirtschaft 2020/21, S.519 ff.</t>
  </si>
  <si>
    <t>ᴓ</t>
  </si>
  <si>
    <t>3 - Jahres Mittelwert</t>
  </si>
  <si>
    <t>€/t</t>
  </si>
  <si>
    <t>AMI 2022</t>
  </si>
  <si>
    <t>Durchschnittspreis Ba.Wü. nach AMI: Mittelwert aus 18 % Rp, Energiestufe 3 (6,7 MJ NEL) und 20 % Rp, Energiestufe 4 ( 7 MJ NEL)</t>
  </si>
  <si>
    <t>MLF 18/3</t>
  </si>
  <si>
    <t>MLF 20/4</t>
  </si>
  <si>
    <t>AMI  März 2022</t>
  </si>
  <si>
    <t>Abt. 4 LEL,</t>
  </si>
  <si>
    <t>Abt. 4 LEL;  einschl. 2,50,- € Mahl-u.Mischkosten</t>
  </si>
  <si>
    <t>Kälberaufzucht bis 16 Wochen</t>
  </si>
  <si>
    <t>Milchleistung 7000 l</t>
  </si>
  <si>
    <t>Milchleistung 8000 l</t>
  </si>
  <si>
    <t>Milchleistung 9000 l</t>
  </si>
  <si>
    <t>m³ Gülle</t>
  </si>
  <si>
    <t>Quelle: Datensammlung Dünung BW</t>
  </si>
  <si>
    <t>Kalb &amp; Kuh</t>
  </si>
  <si>
    <t>m³ Melkstand wasser</t>
  </si>
  <si>
    <t>Sonderfutter raus nehmen</t>
  </si>
  <si>
    <t>Milchaustauscher erhöhen</t>
  </si>
  <si>
    <r>
      <t xml:space="preserve">Wasser </t>
    </r>
    <r>
      <rPr>
        <sz val="10"/>
        <rFont val="Arial"/>
        <family val="2"/>
      </rPr>
      <t>ca. 25 m³ * 1,5 €/m3 je Kuh; (sächs. Erg.: 28 - 40 € je Kuh-GV)</t>
    </r>
  </si>
  <si>
    <t>Besamung/ Deckgeld pro Kuh</t>
  </si>
  <si>
    <t xml:space="preserve">8 m³;  horizontale Schnecken mit Befüllfräse -oder schild, KTBL. Betriebsplanung Landw. 2020/21, S.128 </t>
  </si>
  <si>
    <t>Anteil: 35m³ entnommene Silage x 60 Tiere = 2100 m³ / 8 m³ je Fuhre = 263 Fuhren, =132 Sh</t>
  </si>
  <si>
    <t xml:space="preserve"> (+) Ausgleichsleistungen (FAKT)</t>
  </si>
  <si>
    <t>53 kg bis zur 8. LW Laut Gruber Tabelle zur Milchviehfütterung</t>
  </si>
  <si>
    <t>Formel für Grundfutterbedarf überprüfen? /1000 oder / 100</t>
  </si>
  <si>
    <t>Trockenstehperiode</t>
  </si>
  <si>
    <t>GruberTabelle Lfl</t>
  </si>
  <si>
    <t>laut Rindcash: 285 g/kg Milch d.h. 0,285* 4000 = 1140 kg KF/ Einheit = 11,4 dt bei 4000 Liter</t>
  </si>
  <si>
    <t>laut Rindcash: 285 g/kg Milch d.h  0,285*4250 = 1211kg / 4250 Liter Milch = 12 ,11 dt/ Einheit</t>
  </si>
  <si>
    <t>Tierarzt/ Medikamente laut Rind cash 116 €/Kuh</t>
  </si>
  <si>
    <t>Dieselpreis</t>
  </si>
  <si>
    <t>€/l</t>
  </si>
  <si>
    <t>Quelle: Düngewert 12,25 €??? noch aktuell??</t>
  </si>
  <si>
    <t xml:space="preserve"> Quelle Rinderreport 2021</t>
  </si>
  <si>
    <t xml:space="preserve"> Quelle Rinderreport 2022</t>
  </si>
  <si>
    <t>Quelle: Rinderreport 2021</t>
  </si>
  <si>
    <t>Quelle: Rinderreport 2022</t>
  </si>
  <si>
    <t>?? 6,7 Mj NEL anpassen???</t>
  </si>
  <si>
    <t>?? anpassen auf 6,7?</t>
  </si>
  <si>
    <t>für Futtervorlage:  Faustformel: 0,5 € je dt TM</t>
  </si>
  <si>
    <t>Weidetage berücksichtigt ! (ca. 2,5 € je m³)</t>
  </si>
  <si>
    <t>Vermarktungskosten: über Handel, ca. 45-60 €; ZVB: 4% plus Transportkosten (50 € )</t>
  </si>
  <si>
    <t>Kalbphase (KTBL:  Betriebsplanung Landwirtschaft 2020/21 S. 533)</t>
  </si>
  <si>
    <t>Aufzuchtkalb 50 - 135 kg, Aufzuchtdauer:</t>
  </si>
  <si>
    <t>Liegeboxen</t>
  </si>
  <si>
    <t>Gruppenbucht mit Spaltenboden</t>
  </si>
  <si>
    <t>2020/2021</t>
  </si>
  <si>
    <t>2014/2015</t>
  </si>
  <si>
    <t>€/Tierpl.</t>
  </si>
  <si>
    <t>Investitionsbed.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</si>
</sst>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3">
    <numFmt numFmtId="8" formatCode="#,##0.00\ &quot;€&quot;;[Red]\-#,##0.00\ &quot;€&quot;"/>
    <numFmt numFmtId="164" formatCode="_-* #,##0.00\ &quot;DM&quot;_-;\-* #,##0.00\ &quot;DM&quot;_-;_-* &quot;-&quot;??\ &quot;DM&quot;_-;_-@_-"/>
    <numFmt numFmtId="165" formatCode="_-* #,##0.00\ _D_M_-;\-* #,##0.00\ _D_M_-;_-* &quot;-&quot;??\ _D_M_-;_-@_-"/>
    <numFmt numFmtId="166" formatCode="0.0"/>
    <numFmt numFmtId="167" formatCode="0.0%"/>
    <numFmt numFmtId="168" formatCode="0\ \ "/>
    <numFmt numFmtId="169" formatCode="0.00\ \ "/>
    <numFmt numFmtId="170" formatCode="#,##0\ \ "/>
    <numFmt numFmtId="171" formatCode="0.00\ "/>
    <numFmt numFmtId="172" formatCode="#,##0\ \ \ \ \ \ "/>
    <numFmt numFmtId="173" formatCode="0\ \ \ \ \ "/>
    <numFmt numFmtId="174" formatCode="0.00\ \ \ \ "/>
    <numFmt numFmtId="175" formatCode="0.00\ \ \ "/>
    <numFmt numFmtId="176" formatCode="#,##0\ \ \ \ "/>
    <numFmt numFmtId="177" formatCode="#,##0\ \ \ "/>
    <numFmt numFmtId="178" formatCode="0\ "/>
    <numFmt numFmtId="179" formatCode="0.0\ "/>
    <numFmt numFmtId="180" formatCode="#,##0\ "/>
    <numFmt numFmtId="181" formatCode="#,##0.00\ "/>
    <numFmt numFmtId="182" formatCode="#,##0.0\ "/>
    <numFmt numFmtId="183" formatCode="0\ \ \ "/>
    <numFmt numFmtId="184" formatCode="0\ \ \ \ "/>
    <numFmt numFmtId="185" formatCode="0&quot; DM/AKh&quot;"/>
    <numFmt numFmtId="186" formatCode="#,##0.00\ \ "/>
    <numFmt numFmtId="187" formatCode="#,##0.0\ \ \ \ \ \ "/>
    <numFmt numFmtId="188" formatCode="0.000"/>
    <numFmt numFmtId="189" formatCode="0.000\ "/>
    <numFmt numFmtId="190" formatCode="0.0\ \ "/>
    <numFmt numFmtId="191" formatCode="d/m/yyyy"/>
    <numFmt numFmtId="192" formatCode="_-* #,##0.00\ [$€-1]_-;\-* #,##0.00\ [$€-1]_-;_-* &quot;-&quot;??\ [$€-1]_-"/>
    <numFmt numFmtId="193" formatCode="#,##0.0\ \ "/>
    <numFmt numFmtId="194" formatCode="_-* #,##0\ [$€-1]_-;\-* #,##0\ [$€-1]_-;_-* &quot;-&quot;??\ [$€-1]_-"/>
    <numFmt numFmtId="195" formatCode="#,##0_ ;\-#,##0\ "/>
    <numFmt numFmtId="196" formatCode="mmm/\ yy"/>
    <numFmt numFmtId="197" formatCode="0.00\ &quot;%&quot;"/>
    <numFmt numFmtId="198" formatCode="0.00\ &quot;MJ NEL&quot;"/>
    <numFmt numFmtId="199" formatCode="#\ ##0"/>
    <numFmt numFmtId="200" formatCode="#,##0\ &quot;€&quot;"/>
    <numFmt numFmtId="201" formatCode="#\ ###\ ##0"/>
    <numFmt numFmtId="202" formatCode="00"/>
    <numFmt numFmtId="203" formatCode="0.00\ &quot;MJ NEL/kg KF(FM)&quot;"/>
    <numFmt numFmtId="204" formatCode="0&quot;.&quot;"/>
    <numFmt numFmtId="205" formatCode="0.0\ \ &quot;Monate&quot;"/>
    <numFmt numFmtId="206" formatCode="0.0\ &quot;%&quot;"/>
    <numFmt numFmtId="207" formatCode="0&quot;. Monat&quot;"/>
    <numFmt numFmtId="208" formatCode="0.0\ &quot;VE&quot;"/>
    <numFmt numFmtId="209" formatCode="_-* #,##0\ &quot;€&quot;_-;\-* #,##0\ &quot;€&quot;_-;_-* &quot;-&quot;??\ &quot;€&quot;_-;_-@_-"/>
    <numFmt numFmtId="210" formatCode="#,##0.0"/>
    <numFmt numFmtId="211" formatCode="#,##0.00\ [$€-1];\-#,##0.00\ [$€-1]"/>
    <numFmt numFmtId="212" formatCode="#,##0_ ;[Red]\-#,##0\ "/>
    <numFmt numFmtId="213" formatCode="#,##0.00\ &quot;€&quot;"/>
    <numFmt numFmtId="214" formatCode="#,##0.000"/>
    <numFmt numFmtId="215" formatCode="0.0\ &quot;% Tierverluste&quot;"/>
  </numFmts>
  <fonts count="200" x14ac:knownFonts="1">
    <font>
      <sz val="10"/>
      <name val="Arial"/>
    </font>
    <font>
      <b/>
      <sz val="10"/>
      <name val="Arial"/>
      <family val="2"/>
    </font>
    <font>
      <sz val="10"/>
      <name val="Arial"/>
      <family val="2"/>
    </font>
    <font>
      <sz val="10"/>
      <name val="Helv"/>
    </font>
    <font>
      <b/>
      <sz val="14"/>
      <name val="Arial"/>
      <family val="2"/>
    </font>
    <font>
      <b/>
      <sz val="13"/>
      <name val="Arial"/>
      <family val="2"/>
    </font>
    <font>
      <b/>
      <sz val="12"/>
      <name val="Arial"/>
      <family val="2"/>
    </font>
    <font>
      <i/>
      <sz val="12"/>
      <name val="Arial"/>
      <family val="2"/>
    </font>
    <font>
      <sz val="12"/>
      <name val="Arial"/>
      <family val="2"/>
    </font>
    <font>
      <sz val="14"/>
      <name val="Arial"/>
      <family val="2"/>
    </font>
    <font>
      <sz val="13"/>
      <name val="Arial"/>
      <family val="2"/>
    </font>
    <font>
      <b/>
      <sz val="13"/>
      <name val="Arial"/>
      <family val="2"/>
    </font>
    <font>
      <sz val="12"/>
      <name val="Arial"/>
      <family val="2"/>
    </font>
    <font>
      <b/>
      <sz val="12"/>
      <name val="Arial"/>
      <family val="2"/>
    </font>
    <font>
      <b/>
      <sz val="16"/>
      <name val="Arial"/>
      <family val="2"/>
    </font>
    <font>
      <sz val="11"/>
      <name val="Arial"/>
      <family val="2"/>
    </font>
    <font>
      <b/>
      <i/>
      <sz val="12"/>
      <name val="Arial"/>
      <family val="2"/>
    </font>
    <font>
      <b/>
      <sz val="11"/>
      <name val="Arial"/>
      <family val="2"/>
    </font>
    <font>
      <b/>
      <sz val="11"/>
      <name val="Arial"/>
      <family val="2"/>
    </font>
    <font>
      <sz val="11"/>
      <name val="Arial"/>
      <family val="2"/>
    </font>
    <font>
      <b/>
      <sz val="14"/>
      <name val="Arial"/>
      <family val="2"/>
    </font>
    <font>
      <sz val="14"/>
      <name val="Arial"/>
      <family val="2"/>
    </font>
    <font>
      <b/>
      <sz val="16"/>
      <name val="Arial"/>
      <family val="2"/>
    </font>
    <font>
      <b/>
      <i/>
      <sz val="11"/>
      <name val="Arial"/>
      <family val="2"/>
    </font>
    <font>
      <vertAlign val="subscript"/>
      <sz val="12"/>
      <name val="Arial"/>
      <family val="2"/>
    </font>
    <font>
      <sz val="10"/>
      <name val="Arial"/>
      <family val="2"/>
    </font>
    <font>
      <vertAlign val="superscript"/>
      <sz val="11"/>
      <name val="Arial"/>
      <family val="2"/>
    </font>
    <font>
      <b/>
      <sz val="18"/>
      <name val="Arial"/>
      <family val="2"/>
    </font>
    <font>
      <b/>
      <sz val="14"/>
      <color indexed="8"/>
      <name val="Arial"/>
      <family val="2"/>
    </font>
    <font>
      <b/>
      <i/>
      <sz val="16"/>
      <color indexed="8"/>
      <name val="Arial"/>
      <family val="2"/>
    </font>
    <font>
      <b/>
      <i/>
      <sz val="28"/>
      <color indexed="8"/>
      <name val="Arial"/>
      <family val="2"/>
    </font>
    <font>
      <b/>
      <sz val="12"/>
      <color indexed="8"/>
      <name val="Arial"/>
      <family val="2"/>
    </font>
    <font>
      <b/>
      <i/>
      <sz val="12"/>
      <color indexed="8"/>
      <name val="Arial"/>
      <family val="2"/>
    </font>
    <font>
      <b/>
      <i/>
      <sz val="28"/>
      <color indexed="17"/>
      <name val="Arial"/>
      <family val="2"/>
    </font>
    <font>
      <b/>
      <sz val="10"/>
      <name val="Arial"/>
      <family val="2"/>
    </font>
    <font>
      <b/>
      <sz val="16"/>
      <color indexed="8"/>
      <name val="Arial"/>
      <family val="2"/>
    </font>
    <font>
      <b/>
      <sz val="22"/>
      <color indexed="8"/>
      <name val="Arial"/>
      <family val="2"/>
    </font>
    <font>
      <b/>
      <sz val="18"/>
      <color indexed="8"/>
      <name val="Arial"/>
      <family val="2"/>
    </font>
    <font>
      <b/>
      <sz val="20"/>
      <color indexed="8"/>
      <name val="Arial"/>
      <family val="2"/>
    </font>
    <font>
      <sz val="18"/>
      <name val="Arial"/>
      <family val="2"/>
    </font>
    <font>
      <sz val="16"/>
      <name val="Arial"/>
      <family val="2"/>
    </font>
    <font>
      <b/>
      <sz val="32"/>
      <color indexed="8"/>
      <name val="Arial"/>
      <family val="2"/>
    </font>
    <font>
      <sz val="20"/>
      <name val="Arial"/>
      <family val="2"/>
    </font>
    <font>
      <sz val="20"/>
      <name val="Arial"/>
      <family val="2"/>
    </font>
    <font>
      <b/>
      <sz val="18"/>
      <color indexed="8"/>
      <name val="Arial"/>
      <family val="2"/>
    </font>
    <font>
      <sz val="16"/>
      <color indexed="8"/>
      <name val="Arial"/>
      <family val="2"/>
    </font>
    <font>
      <sz val="18"/>
      <name val="Arial"/>
      <family val="2"/>
    </font>
    <font>
      <b/>
      <vertAlign val="superscript"/>
      <sz val="12"/>
      <name val="Arial"/>
      <family val="2"/>
    </font>
    <font>
      <sz val="8"/>
      <name val="Arial"/>
      <family val="2"/>
    </font>
    <font>
      <i/>
      <sz val="10"/>
      <name val="Arial"/>
      <family val="2"/>
    </font>
    <font>
      <b/>
      <i/>
      <sz val="16"/>
      <name val="Arial"/>
      <family val="2"/>
    </font>
    <font>
      <i/>
      <sz val="16"/>
      <name val="Arial"/>
      <family val="2"/>
    </font>
    <font>
      <sz val="13"/>
      <name val="Arial"/>
      <family val="2"/>
    </font>
    <font>
      <vertAlign val="superscript"/>
      <sz val="12"/>
      <name val="Arial"/>
      <family val="2"/>
    </font>
    <font>
      <b/>
      <sz val="18"/>
      <name val="Arial"/>
      <family val="2"/>
    </font>
    <font>
      <sz val="18"/>
      <color indexed="8"/>
      <name val="Arial"/>
      <family val="2"/>
    </font>
    <font>
      <b/>
      <sz val="20"/>
      <name val="Arial"/>
      <family val="2"/>
    </font>
    <font>
      <sz val="18"/>
      <color indexed="8"/>
      <name val="Arial"/>
      <family val="2"/>
    </font>
    <font>
      <sz val="22"/>
      <name val="Arial"/>
      <family val="2"/>
    </font>
    <font>
      <sz val="22"/>
      <color indexed="8"/>
      <name val="Arial"/>
      <family val="2"/>
    </font>
    <font>
      <sz val="20"/>
      <color indexed="8"/>
      <name val="Arial"/>
      <family val="2"/>
    </font>
    <font>
      <b/>
      <vertAlign val="superscript"/>
      <sz val="11"/>
      <name val="Arial"/>
      <family val="2"/>
    </font>
    <font>
      <sz val="10"/>
      <color indexed="10"/>
      <name val="Arial"/>
      <family val="2"/>
    </font>
    <font>
      <sz val="8"/>
      <color indexed="81"/>
      <name val="Tahoma"/>
      <family val="2"/>
    </font>
    <font>
      <i/>
      <sz val="11"/>
      <name val="Arial"/>
      <family val="2"/>
    </font>
    <font>
      <u/>
      <sz val="10"/>
      <color indexed="12"/>
      <name val="Arial"/>
      <family val="2"/>
    </font>
    <font>
      <b/>
      <sz val="8"/>
      <name val="Arial"/>
      <family val="2"/>
    </font>
    <font>
      <b/>
      <sz val="13"/>
      <color indexed="10"/>
      <name val="Arial"/>
      <family val="2"/>
    </font>
    <font>
      <b/>
      <sz val="14"/>
      <color indexed="10"/>
      <name val="Arial"/>
      <family val="2"/>
    </font>
    <font>
      <sz val="12"/>
      <color indexed="10"/>
      <name val="Arial"/>
      <family val="2"/>
    </font>
    <font>
      <b/>
      <vertAlign val="superscript"/>
      <sz val="14"/>
      <name val="Arial"/>
      <family val="2"/>
    </font>
    <font>
      <b/>
      <i/>
      <sz val="14"/>
      <name val="Arial"/>
      <family val="2"/>
    </font>
    <font>
      <b/>
      <i/>
      <sz val="18"/>
      <color indexed="8"/>
      <name val="Arial"/>
      <family val="2"/>
    </font>
    <font>
      <b/>
      <i/>
      <sz val="11"/>
      <color indexed="10"/>
      <name val="Arial"/>
      <family val="2"/>
    </font>
    <font>
      <b/>
      <i/>
      <sz val="12"/>
      <name val="Arial"/>
      <family val="2"/>
    </font>
    <font>
      <b/>
      <sz val="12"/>
      <color indexed="8"/>
      <name val="Arial"/>
      <family val="2"/>
    </font>
    <font>
      <b/>
      <sz val="12"/>
      <name val="Arial Narrow"/>
      <family val="2"/>
    </font>
    <font>
      <b/>
      <sz val="12"/>
      <color indexed="10"/>
      <name val="Arial"/>
      <family val="2"/>
    </font>
    <font>
      <sz val="26"/>
      <name val="Wingdings 2"/>
      <family val="1"/>
      <charset val="2"/>
    </font>
    <font>
      <i/>
      <u/>
      <sz val="12"/>
      <color indexed="10"/>
      <name val="Arial"/>
      <family val="2"/>
    </font>
    <font>
      <b/>
      <sz val="22"/>
      <name val="Arial"/>
      <family val="2"/>
    </font>
    <font>
      <sz val="24"/>
      <name val="Wingdings"/>
      <charset val="2"/>
    </font>
    <font>
      <u/>
      <sz val="26"/>
      <name val="Wingdings 2"/>
      <family val="1"/>
      <charset val="2"/>
    </font>
    <font>
      <i/>
      <sz val="14"/>
      <name val="Arial"/>
      <family val="2"/>
    </font>
    <font>
      <b/>
      <sz val="14"/>
      <color indexed="12"/>
      <name val="Arial"/>
      <family val="2"/>
    </font>
    <font>
      <sz val="10"/>
      <color indexed="12"/>
      <name val="Arial"/>
      <family val="2"/>
    </font>
    <font>
      <b/>
      <sz val="10"/>
      <color indexed="10"/>
      <name val="Arial"/>
      <family val="2"/>
    </font>
    <font>
      <b/>
      <sz val="12"/>
      <color indexed="56"/>
      <name val="Arial"/>
      <family val="2"/>
    </font>
    <font>
      <sz val="12"/>
      <color indexed="8"/>
      <name val="Arial"/>
      <family val="2"/>
    </font>
    <font>
      <b/>
      <u/>
      <sz val="10"/>
      <color indexed="12"/>
      <name val="Arial"/>
      <family val="2"/>
    </font>
    <font>
      <b/>
      <sz val="12"/>
      <color indexed="12"/>
      <name val="Arial"/>
      <family val="2"/>
    </font>
    <font>
      <sz val="10"/>
      <color indexed="60"/>
      <name val="Arial"/>
      <family val="2"/>
    </font>
    <font>
      <b/>
      <sz val="16"/>
      <color indexed="60"/>
      <name val="Arial"/>
      <family val="2"/>
    </font>
    <font>
      <b/>
      <sz val="10"/>
      <color indexed="56"/>
      <name val="Arial"/>
      <family val="2"/>
    </font>
    <font>
      <b/>
      <sz val="13"/>
      <color indexed="60"/>
      <name val="Arial Black"/>
      <family val="2"/>
    </font>
    <font>
      <b/>
      <sz val="14"/>
      <name val="Arial Black"/>
      <family val="2"/>
    </font>
    <font>
      <b/>
      <sz val="14"/>
      <color indexed="12"/>
      <name val="Arial Black"/>
      <family val="2"/>
    </font>
    <font>
      <sz val="10"/>
      <name val="Wingdings"/>
      <charset val="2"/>
    </font>
    <font>
      <b/>
      <u/>
      <sz val="24"/>
      <color indexed="12"/>
      <name val="Wingdings"/>
      <charset val="2"/>
    </font>
    <font>
      <sz val="26"/>
      <name val="Arial"/>
      <family val="2"/>
    </font>
    <font>
      <b/>
      <u/>
      <sz val="26"/>
      <color indexed="12"/>
      <name val="Wingdings"/>
      <charset val="2"/>
    </font>
    <font>
      <b/>
      <u/>
      <sz val="18"/>
      <color indexed="60"/>
      <name val="Arial Black"/>
      <family val="2"/>
    </font>
    <font>
      <b/>
      <sz val="36"/>
      <name val="Wingdings"/>
      <charset val="2"/>
    </font>
    <font>
      <sz val="36"/>
      <name val="Wingdings"/>
      <charset val="2"/>
    </font>
    <font>
      <b/>
      <sz val="14"/>
      <color indexed="60"/>
      <name val="Arial"/>
      <family val="2"/>
    </font>
    <font>
      <sz val="36"/>
      <name val="Webdings"/>
      <family val="1"/>
      <charset val="2"/>
    </font>
    <font>
      <b/>
      <sz val="16"/>
      <color indexed="12"/>
      <name val="Arial"/>
      <family val="2"/>
    </font>
    <font>
      <b/>
      <sz val="18"/>
      <color indexed="12"/>
      <name val="Arial"/>
      <family val="2"/>
    </font>
    <font>
      <b/>
      <sz val="14"/>
      <color indexed="56"/>
      <name val="Arial"/>
      <family val="2"/>
    </font>
    <font>
      <b/>
      <sz val="16"/>
      <color indexed="56"/>
      <name val="Arial"/>
      <family val="2"/>
    </font>
    <font>
      <sz val="14"/>
      <name val="Arial Black"/>
      <family val="2"/>
    </font>
    <font>
      <sz val="11"/>
      <name val="Arial Black"/>
      <family val="2"/>
    </font>
    <font>
      <b/>
      <sz val="16"/>
      <color indexed="60"/>
      <name val="Arial Black"/>
      <family val="2"/>
    </font>
    <font>
      <b/>
      <sz val="11"/>
      <color indexed="10"/>
      <name val="Arial"/>
      <family val="2"/>
    </font>
    <font>
      <sz val="12"/>
      <color indexed="61"/>
      <name val="Arial Black"/>
      <family val="2"/>
    </font>
    <font>
      <sz val="14"/>
      <color indexed="12"/>
      <name val="Arial"/>
      <family val="2"/>
    </font>
    <font>
      <b/>
      <sz val="9"/>
      <name val="Arial"/>
      <family val="2"/>
    </font>
    <font>
      <sz val="9"/>
      <name val="Arial"/>
      <family val="2"/>
    </font>
    <font>
      <b/>
      <sz val="10"/>
      <color indexed="12"/>
      <name val="Arial"/>
      <family val="2"/>
    </font>
    <font>
      <b/>
      <sz val="10"/>
      <name val="Arial Narrow"/>
      <family val="2"/>
    </font>
    <font>
      <sz val="8"/>
      <name val="Arial Narrow"/>
      <family val="2"/>
    </font>
    <font>
      <sz val="8"/>
      <name val="Arial"/>
      <family val="2"/>
    </font>
    <font>
      <b/>
      <u/>
      <sz val="10"/>
      <color indexed="10"/>
      <name val="Arial Narrow"/>
      <family val="2"/>
    </font>
    <font>
      <b/>
      <sz val="10"/>
      <color indexed="10"/>
      <name val="Arial Narrow"/>
      <family val="2"/>
    </font>
    <font>
      <b/>
      <sz val="8"/>
      <color indexed="12"/>
      <name val="Arial"/>
      <family val="2"/>
    </font>
    <font>
      <b/>
      <sz val="11"/>
      <color indexed="8"/>
      <name val="Arial"/>
      <family val="2"/>
    </font>
    <font>
      <sz val="9"/>
      <color indexed="10"/>
      <name val="Arial"/>
      <family val="2"/>
    </font>
    <font>
      <sz val="10"/>
      <name val="Arial Narrow"/>
      <family val="2"/>
    </font>
    <font>
      <sz val="8"/>
      <color indexed="10"/>
      <name val="Arial"/>
      <family val="2"/>
    </font>
    <font>
      <b/>
      <sz val="12"/>
      <color indexed="17"/>
      <name val="Arial"/>
      <family val="2"/>
    </font>
    <font>
      <sz val="8"/>
      <color indexed="8"/>
      <name val="Arial"/>
      <family val="2"/>
    </font>
    <font>
      <b/>
      <vertAlign val="superscript"/>
      <sz val="10"/>
      <name val="Arial"/>
      <family val="2"/>
    </font>
    <font>
      <i/>
      <sz val="8"/>
      <color indexed="10"/>
      <name val="Arial"/>
      <family val="2"/>
    </font>
    <font>
      <b/>
      <sz val="10"/>
      <color indexed="8"/>
      <name val="Arial Narrow"/>
      <family val="2"/>
    </font>
    <font>
      <sz val="8"/>
      <color indexed="18"/>
      <name val="Arial Narrow"/>
      <family val="2"/>
    </font>
    <font>
      <sz val="7"/>
      <color indexed="10"/>
      <name val="Arial"/>
      <family val="2"/>
    </font>
    <font>
      <u/>
      <sz val="10"/>
      <name val="Arial Narrow"/>
      <family val="2"/>
    </font>
    <font>
      <sz val="9"/>
      <name val="Arial Narrow"/>
      <family val="2"/>
    </font>
    <font>
      <b/>
      <u/>
      <sz val="10"/>
      <color indexed="12"/>
      <name val="Arial Narrow"/>
      <family val="2"/>
    </font>
    <font>
      <b/>
      <u/>
      <sz val="9"/>
      <color indexed="12"/>
      <name val="Arial Narrow"/>
      <family val="2"/>
    </font>
    <font>
      <u/>
      <sz val="16"/>
      <color indexed="12"/>
      <name val="Wingdings"/>
      <charset val="2"/>
    </font>
    <font>
      <sz val="9"/>
      <color indexed="10"/>
      <name val="Arial Black"/>
      <family val="2"/>
    </font>
    <font>
      <sz val="11"/>
      <name val="Arial Narrow"/>
      <family val="2"/>
    </font>
    <font>
      <sz val="12"/>
      <name val="Arial Narrow"/>
      <family val="2"/>
    </font>
    <font>
      <sz val="13"/>
      <color indexed="61"/>
      <name val="Arial"/>
      <family val="2"/>
    </font>
    <font>
      <b/>
      <sz val="13"/>
      <color indexed="61"/>
      <name val="Arial"/>
      <family val="2"/>
    </font>
    <font>
      <sz val="12"/>
      <color indexed="61"/>
      <name val="Arial"/>
      <family val="2"/>
    </font>
    <font>
      <b/>
      <sz val="12"/>
      <color indexed="61"/>
      <name val="Arial"/>
      <family val="2"/>
    </font>
    <font>
      <b/>
      <sz val="11"/>
      <color indexed="53"/>
      <name val="Arial"/>
      <family val="2"/>
    </font>
    <font>
      <b/>
      <sz val="8"/>
      <name val="Arial Narrow"/>
      <family val="2"/>
    </font>
    <font>
      <b/>
      <sz val="13"/>
      <color indexed="12"/>
      <name val="Arial"/>
      <family val="2"/>
    </font>
    <font>
      <sz val="12"/>
      <color indexed="12"/>
      <name val="Arial"/>
      <family val="2"/>
    </font>
    <font>
      <b/>
      <sz val="8"/>
      <color indexed="61"/>
      <name val="Arial"/>
      <family val="2"/>
    </font>
    <font>
      <i/>
      <sz val="12"/>
      <name val="Arial Narrow"/>
      <family val="2"/>
    </font>
    <font>
      <b/>
      <sz val="10"/>
      <name val="Wingdings"/>
      <charset val="2"/>
    </font>
    <font>
      <u/>
      <sz val="14"/>
      <color indexed="12"/>
      <name val="Wingdings"/>
      <charset val="2"/>
    </font>
    <font>
      <u/>
      <sz val="14"/>
      <color indexed="12"/>
      <name val="Wingdings 2"/>
      <family val="1"/>
      <charset val="2"/>
    </font>
    <font>
      <b/>
      <sz val="8"/>
      <color indexed="81"/>
      <name val="Tahoma"/>
      <family val="2"/>
    </font>
    <font>
      <b/>
      <sz val="11"/>
      <name val="Arial Narrow"/>
      <family val="2"/>
    </font>
    <font>
      <b/>
      <sz val="11"/>
      <color indexed="9"/>
      <name val="Arial"/>
      <family val="2"/>
    </font>
    <font>
      <u/>
      <sz val="14"/>
      <color indexed="12"/>
      <name val="Arial"/>
      <family val="2"/>
    </font>
    <font>
      <sz val="11"/>
      <color indexed="18"/>
      <name val="Arial"/>
      <family val="2"/>
    </font>
    <font>
      <sz val="10"/>
      <color indexed="18"/>
      <name val="Arial"/>
      <family val="2"/>
    </font>
    <font>
      <sz val="14"/>
      <color indexed="8"/>
      <name val="Arial"/>
      <family val="2"/>
    </font>
    <font>
      <u/>
      <sz val="14"/>
      <color indexed="56"/>
      <name val="Webdings"/>
      <family val="1"/>
      <charset val="2"/>
    </font>
    <font>
      <sz val="14"/>
      <color indexed="18"/>
      <name val="Arial"/>
      <family val="2"/>
    </font>
    <font>
      <sz val="14"/>
      <color indexed="10"/>
      <name val="Arial"/>
      <family val="2"/>
    </font>
    <font>
      <u/>
      <sz val="14"/>
      <color indexed="12"/>
      <name val="Webdings"/>
      <family val="1"/>
      <charset val="2"/>
    </font>
    <font>
      <sz val="14"/>
      <name val="Arial Narrow"/>
      <family val="2"/>
    </font>
    <font>
      <b/>
      <i/>
      <sz val="10"/>
      <name val="Arial"/>
      <family val="2"/>
    </font>
    <font>
      <sz val="12"/>
      <color indexed="18"/>
      <name val="Arial"/>
      <family val="2"/>
    </font>
    <font>
      <b/>
      <sz val="24"/>
      <name val="Arial"/>
      <family val="2"/>
    </font>
    <font>
      <sz val="9"/>
      <color indexed="81"/>
      <name val="Tahoma"/>
      <family val="2"/>
    </font>
    <font>
      <i/>
      <sz val="10"/>
      <color indexed="10"/>
      <name val="Arial"/>
      <family val="2"/>
    </font>
    <font>
      <sz val="8"/>
      <color indexed="12"/>
      <name val="Arial"/>
      <family val="2"/>
    </font>
    <font>
      <sz val="11"/>
      <color indexed="10"/>
      <name val="Arial"/>
      <family val="2"/>
    </font>
    <font>
      <sz val="7"/>
      <name val="Arial"/>
      <family val="2"/>
    </font>
    <font>
      <b/>
      <sz val="15"/>
      <name val="Arial"/>
      <family val="2"/>
    </font>
    <font>
      <b/>
      <sz val="15"/>
      <color indexed="10"/>
      <name val="Arial"/>
      <family val="2"/>
    </font>
    <font>
      <sz val="13"/>
      <color indexed="10"/>
      <name val="Arial"/>
      <family val="2"/>
    </font>
    <font>
      <sz val="8"/>
      <color indexed="10"/>
      <name val="Arial"/>
      <family val="2"/>
    </font>
    <font>
      <b/>
      <sz val="12"/>
      <color indexed="30"/>
      <name val="Arial"/>
      <family val="2"/>
    </font>
    <font>
      <b/>
      <sz val="12"/>
      <color indexed="10"/>
      <name val="Arial"/>
      <family val="2"/>
    </font>
    <font>
      <b/>
      <sz val="8"/>
      <color indexed="10"/>
      <name val="Arial"/>
      <family val="2"/>
    </font>
    <font>
      <sz val="12"/>
      <color indexed="30"/>
      <name val="Arial"/>
      <family val="2"/>
    </font>
    <font>
      <b/>
      <sz val="18"/>
      <color indexed="10"/>
      <name val="Arial"/>
      <family val="2"/>
    </font>
    <font>
      <b/>
      <sz val="11"/>
      <color indexed="10"/>
      <name val="Arial"/>
      <family val="2"/>
    </font>
    <font>
      <sz val="10"/>
      <color indexed="10"/>
      <name val="Arial"/>
      <family val="2"/>
    </font>
    <font>
      <sz val="14"/>
      <color indexed="10"/>
      <name val="Arial"/>
      <family val="2"/>
    </font>
    <font>
      <sz val="16"/>
      <color indexed="10"/>
      <name val="Arial"/>
      <family val="2"/>
    </font>
    <font>
      <b/>
      <sz val="16"/>
      <color indexed="10"/>
      <name val="Arial"/>
      <family val="2"/>
    </font>
    <font>
      <b/>
      <sz val="8"/>
      <color indexed="8"/>
      <name val="Arial"/>
      <family val="2"/>
    </font>
    <font>
      <sz val="8"/>
      <color rgb="FFFF0000"/>
      <name val="Arial"/>
      <family val="2"/>
    </font>
    <font>
      <b/>
      <sz val="12"/>
      <color rgb="FFFF0000"/>
      <name val="Arial"/>
      <family val="2"/>
    </font>
    <font>
      <sz val="10"/>
      <color rgb="FFFF0000"/>
      <name val="Arial"/>
      <family val="2"/>
    </font>
    <font>
      <b/>
      <sz val="18"/>
      <name val="Arial Narrow"/>
      <family val="2"/>
    </font>
    <font>
      <i/>
      <sz val="10"/>
      <color rgb="FFFF0000"/>
      <name val="Arial"/>
      <family val="2"/>
    </font>
    <font>
      <sz val="12"/>
      <color rgb="FFFF0000"/>
      <name val="Arial"/>
      <family val="2"/>
    </font>
    <font>
      <sz val="10"/>
      <color rgb="FF7030A0"/>
      <name val="Arial"/>
      <family val="2"/>
    </font>
    <font>
      <sz val="10"/>
      <color rgb="FFC00000"/>
      <name val="Arial"/>
      <family val="2"/>
    </font>
  </fonts>
  <fills count="26">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indexed="26"/>
        <bgColor indexed="9"/>
      </patternFill>
    </fill>
    <fill>
      <patternFill patternType="solid">
        <fgColor indexed="15"/>
        <bgColor indexed="64"/>
      </patternFill>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indexed="65"/>
        <bgColor indexed="31"/>
      </patternFill>
    </fill>
    <fill>
      <patternFill patternType="solid">
        <fgColor indexed="13"/>
        <bgColor indexed="31"/>
      </patternFill>
    </fill>
    <fill>
      <patternFill patternType="solid">
        <fgColor indexed="11"/>
        <bgColor indexed="31"/>
      </patternFill>
    </fill>
    <fill>
      <patternFill patternType="solid">
        <fgColor indexed="47"/>
        <bgColor indexed="31"/>
      </patternFill>
    </fill>
    <fill>
      <patternFill patternType="solid">
        <fgColor indexed="40"/>
        <bgColor indexed="64"/>
      </patternFill>
    </fill>
    <fill>
      <patternFill patternType="solid">
        <fgColor indexed="51"/>
        <bgColor indexed="64"/>
      </patternFill>
    </fill>
    <fill>
      <patternFill patternType="solid">
        <fgColor indexed="53"/>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0"/>
        <bgColor indexed="64"/>
      </patternFill>
    </fill>
    <fill>
      <patternFill patternType="solid">
        <fgColor rgb="FFCCFFCC"/>
        <bgColor indexed="64"/>
      </patternFill>
    </fill>
  </fills>
  <borders count="22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bottom/>
      <diagonal/>
    </border>
    <border>
      <left style="hair">
        <color indexed="64"/>
      </left>
      <right/>
      <top/>
      <bottom style="thin">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double">
        <color indexed="64"/>
      </left>
      <right/>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top style="dotted">
        <color indexed="64"/>
      </top>
      <bottom/>
      <diagonal/>
    </border>
    <border>
      <left style="hair">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hair">
        <color indexed="64"/>
      </right>
      <top/>
      <bottom style="hair">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hair">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bottom style="hair">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hair">
        <color indexed="64"/>
      </right>
      <top/>
      <bottom/>
      <diagonal/>
    </border>
    <border>
      <left style="medium">
        <color indexed="64"/>
      </left>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style="dashed">
        <color indexed="64"/>
      </left>
      <right style="dashed">
        <color indexed="64"/>
      </right>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right style="dashed">
        <color indexed="64"/>
      </right>
      <top/>
      <bottom/>
      <diagonal/>
    </border>
    <border>
      <left/>
      <right style="dashed">
        <color indexed="64"/>
      </right>
      <top style="thin">
        <color indexed="64"/>
      </top>
      <bottom/>
      <diagonal/>
    </border>
    <border>
      <left style="thin">
        <color indexed="64"/>
      </left>
      <right style="thin">
        <color indexed="64"/>
      </right>
      <top style="thin">
        <color indexed="64"/>
      </top>
      <bottom style="dashed">
        <color indexed="64"/>
      </bottom>
      <diagonal/>
    </border>
    <border>
      <left style="dashed">
        <color indexed="64"/>
      </left>
      <right style="dashed">
        <color indexed="64"/>
      </right>
      <top/>
      <bottom style="thin">
        <color indexed="64"/>
      </bottom>
      <diagonal/>
    </border>
    <border>
      <left style="dashed">
        <color indexed="64"/>
      </left>
      <right style="dashed">
        <color indexed="64"/>
      </right>
      <top style="hair">
        <color indexed="64"/>
      </top>
      <bottom/>
      <diagonal/>
    </border>
    <border>
      <left style="dashed">
        <color indexed="64"/>
      </left>
      <right/>
      <top/>
      <bottom/>
      <diagonal/>
    </border>
    <border>
      <left/>
      <right style="thin">
        <color indexed="64"/>
      </right>
      <top style="medium">
        <color indexed="64"/>
      </top>
      <bottom style="medium">
        <color indexed="64"/>
      </bottom>
      <diagonal/>
    </border>
    <border>
      <left style="dashed">
        <color indexed="64"/>
      </left>
      <right style="medium">
        <color indexed="64"/>
      </right>
      <top/>
      <bottom style="thin">
        <color indexed="64"/>
      </bottom>
      <diagonal/>
    </border>
    <border>
      <left style="dashed">
        <color indexed="64"/>
      </left>
      <right style="medium">
        <color indexed="64"/>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style="thin">
        <color indexed="64"/>
      </right>
      <top/>
      <bottom style="medium">
        <color indexed="64"/>
      </bottom>
      <diagonal/>
    </border>
    <border>
      <left/>
      <right style="dashed">
        <color indexed="64"/>
      </right>
      <top/>
      <bottom style="thin">
        <color indexed="64"/>
      </bottom>
      <diagonal/>
    </border>
    <border>
      <left style="thin">
        <color indexed="64"/>
      </left>
      <right style="hair">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hair">
        <color indexed="64"/>
      </left>
      <right style="medium">
        <color indexed="64"/>
      </right>
      <top/>
      <bottom/>
      <diagonal/>
    </border>
    <border>
      <left style="double">
        <color indexed="64"/>
      </left>
      <right style="thin">
        <color indexed="64"/>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bottom style="double">
        <color indexed="64"/>
      </bottom>
      <diagonal/>
    </border>
    <border>
      <left style="thin">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diagonal/>
    </border>
    <border>
      <left style="hair">
        <color indexed="64"/>
      </left>
      <right style="medium">
        <color indexed="64"/>
      </right>
      <top/>
      <bottom style="thin">
        <color indexed="64"/>
      </bottom>
      <diagonal/>
    </border>
    <border>
      <left style="hair">
        <color indexed="64"/>
      </left>
      <right/>
      <top/>
      <bottom style="medium">
        <color indexed="64"/>
      </bottom>
      <diagonal/>
    </border>
    <border>
      <left style="hair">
        <color indexed="64"/>
      </left>
      <right style="hair">
        <color indexed="64"/>
      </right>
      <top style="hair">
        <color indexed="64"/>
      </top>
      <bottom style="thin">
        <color indexed="64"/>
      </bottom>
      <diagonal/>
    </border>
    <border>
      <left style="dashed">
        <color indexed="64"/>
      </left>
      <right/>
      <top style="thin">
        <color indexed="64"/>
      </top>
      <bottom style="thin">
        <color indexed="64"/>
      </bottom>
      <diagonal/>
    </border>
    <border>
      <left style="dotted">
        <color indexed="64"/>
      </left>
      <right style="dotted">
        <color indexed="64"/>
      </right>
      <top/>
      <bottom style="thin">
        <color indexed="64"/>
      </bottom>
      <diagonal/>
    </border>
    <border>
      <left style="dotted">
        <color indexed="64"/>
      </left>
      <right style="dotted">
        <color indexed="64"/>
      </right>
      <top/>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dotted">
        <color indexed="64"/>
      </left>
      <right/>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style="thin">
        <color indexed="64"/>
      </left>
      <right/>
      <top style="medium">
        <color indexed="64"/>
      </top>
      <bottom/>
      <diagonal/>
    </border>
    <border>
      <left style="double">
        <color indexed="64"/>
      </left>
      <right style="thin">
        <color indexed="64"/>
      </right>
      <top style="medium">
        <color indexed="64"/>
      </top>
      <bottom/>
      <diagonal/>
    </border>
    <border>
      <left style="double">
        <color indexed="64"/>
      </left>
      <right/>
      <top style="medium">
        <color indexed="64"/>
      </top>
      <bottom/>
      <diagonal/>
    </border>
    <border>
      <left style="dashed">
        <color indexed="64"/>
      </left>
      <right style="medium">
        <color indexed="64"/>
      </right>
      <top style="medium">
        <color indexed="64"/>
      </top>
      <bottom/>
      <diagonal/>
    </border>
    <border>
      <left style="double">
        <color indexed="64"/>
      </left>
      <right style="thin">
        <color indexed="64"/>
      </right>
      <top style="thin">
        <color indexed="64"/>
      </top>
      <bottom style="medium">
        <color indexed="64"/>
      </bottom>
      <diagonal/>
    </border>
    <border>
      <left style="double">
        <color indexed="64"/>
      </left>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double">
        <color indexed="64"/>
      </left>
      <right/>
      <top style="medium">
        <color indexed="64"/>
      </top>
      <bottom style="medium">
        <color indexed="64"/>
      </bottom>
      <diagonal/>
    </border>
    <border>
      <left style="dotted">
        <color indexed="64"/>
      </left>
      <right style="thin">
        <color indexed="64"/>
      </right>
      <top/>
      <bottom style="thin">
        <color indexed="64"/>
      </bottom>
      <diagonal/>
    </border>
    <border>
      <left style="dotted">
        <color indexed="64"/>
      </left>
      <right style="dotted">
        <color indexed="64"/>
      </right>
      <top style="thin">
        <color indexed="64"/>
      </top>
      <bottom/>
      <diagonal/>
    </border>
    <border>
      <left/>
      <right style="dotted">
        <color indexed="64"/>
      </right>
      <top style="thin">
        <color indexed="64"/>
      </top>
      <bottom/>
      <diagonal/>
    </border>
    <border>
      <left/>
      <right style="dotted">
        <color indexed="64"/>
      </right>
      <top/>
      <bottom/>
      <diagonal/>
    </border>
    <border>
      <left style="dashed">
        <color indexed="64"/>
      </left>
      <right style="thin">
        <color indexed="64"/>
      </right>
      <top style="dotted">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double">
        <color indexed="64"/>
      </right>
      <top style="thin">
        <color indexed="64"/>
      </top>
      <bottom/>
      <diagonal/>
    </border>
    <border>
      <left style="double">
        <color indexed="64"/>
      </left>
      <right/>
      <top/>
      <bottom style="medium">
        <color indexed="64"/>
      </bottom>
      <diagonal/>
    </border>
    <border>
      <left style="thin">
        <color indexed="64"/>
      </left>
      <right style="hair">
        <color indexed="64"/>
      </right>
      <top style="hair">
        <color indexed="64"/>
      </top>
      <bottom/>
      <diagonal/>
    </border>
    <border>
      <left style="thick">
        <color rgb="FFFF0000"/>
      </left>
      <right style="thick">
        <color rgb="FFFF0000"/>
      </right>
      <top style="thick">
        <color rgb="FFFF0000"/>
      </top>
      <bottom style="thick">
        <color rgb="FFFF0000"/>
      </bottom>
      <diagonal/>
    </border>
    <border>
      <left style="dotted">
        <color auto="1"/>
      </left>
      <right style="hair">
        <color auto="1"/>
      </right>
      <top style="hair">
        <color auto="1"/>
      </top>
      <bottom style="hair">
        <color auto="1"/>
      </bottom>
      <diagonal/>
    </border>
    <border>
      <left style="dotted">
        <color auto="1"/>
      </left>
      <right style="dotted">
        <color auto="1"/>
      </right>
      <top style="hair">
        <color auto="1"/>
      </top>
      <bottom style="hair">
        <color auto="1"/>
      </bottom>
      <diagonal/>
    </border>
  </borders>
  <cellStyleXfs count="12">
    <xf numFmtId="0" fontId="0" fillId="0" borderId="0"/>
    <xf numFmtId="192" fontId="2" fillId="0" borderId="0" applyFont="0" applyFill="0" applyBorder="0" applyAlignment="0" applyProtection="0"/>
    <xf numFmtId="0" fontId="8" fillId="2" borderId="0">
      <alignment horizontal="right" vertical="center"/>
    </xf>
    <xf numFmtId="4" fontId="2" fillId="3" borderId="0">
      <alignment vertical="center"/>
    </xf>
    <xf numFmtId="0" fontId="65" fillId="0" borderId="0" applyNumberFormat="0" applyFill="0" applyBorder="0" applyAlignment="0" applyProtection="0">
      <alignment vertical="top"/>
      <protection locked="0"/>
    </xf>
    <xf numFmtId="165" fontId="2" fillId="0" borderId="0" applyFont="0" applyFill="0" applyBorder="0" applyAlignment="0" applyProtection="0"/>
    <xf numFmtId="2" fontId="2" fillId="0" borderId="1">
      <alignment vertical="center" shrinkToFit="1"/>
      <protection locked="0"/>
    </xf>
    <xf numFmtId="9" fontId="2" fillId="0" borderId="0" applyFont="0" applyFill="0" applyBorder="0" applyAlignment="0" applyProtection="0"/>
    <xf numFmtId="0" fontId="3" fillId="0" borderId="0"/>
    <xf numFmtId="0" fontId="121" fillId="0" borderId="0">
      <alignment vertical="center"/>
    </xf>
    <xf numFmtId="164" fontId="2" fillId="0" borderId="0" applyFont="0" applyFill="0" applyBorder="0" applyAlignment="0" applyProtection="0"/>
    <xf numFmtId="8" fontId="2" fillId="0" borderId="0" applyFont="0" applyFill="0" applyBorder="0" applyAlignment="0" applyProtection="0"/>
  </cellStyleXfs>
  <cellXfs count="4094">
    <xf numFmtId="0" fontId="0" fillId="0" borderId="0" xfId="0"/>
    <xf numFmtId="0" fontId="7" fillId="0" borderId="0" xfId="0" applyFont="1" applyAlignment="1">
      <alignment vertical="center"/>
    </xf>
    <xf numFmtId="0" fontId="8" fillId="0" borderId="0" xfId="0" applyFont="1" applyBorder="1" applyAlignment="1">
      <alignment vertical="center"/>
    </xf>
    <xf numFmtId="0" fontId="0" fillId="0" borderId="0" xfId="0" applyBorder="1" applyAlignment="1">
      <alignment vertical="center"/>
    </xf>
    <xf numFmtId="0" fontId="0" fillId="0" borderId="0" xfId="0" applyAlignment="1">
      <alignment vertical="center"/>
    </xf>
    <xf numFmtId="0" fontId="11" fillId="0" borderId="0" xfId="8" applyFont="1" applyBorder="1" applyAlignment="1" applyProtection="1">
      <alignment vertical="center"/>
    </xf>
    <xf numFmtId="0" fontId="10" fillId="0" borderId="2" xfId="8" applyFont="1" applyBorder="1" applyAlignment="1" applyProtection="1">
      <alignment vertical="center"/>
    </xf>
    <xf numFmtId="0" fontId="11" fillId="0" borderId="2" xfId="8" applyFont="1" applyBorder="1" applyAlignment="1" applyProtection="1">
      <alignment vertical="center"/>
    </xf>
    <xf numFmtId="0" fontId="11" fillId="0" borderId="3" xfId="8" applyFont="1" applyBorder="1" applyAlignment="1" applyProtection="1">
      <alignment vertical="center"/>
    </xf>
    <xf numFmtId="0" fontId="8" fillId="0" borderId="4" xfId="8" applyFont="1" applyBorder="1" applyAlignment="1" applyProtection="1">
      <alignment vertical="center"/>
    </xf>
    <xf numFmtId="0" fontId="8" fillId="0" borderId="0" xfId="8" applyFont="1" applyBorder="1" applyAlignment="1">
      <alignment vertical="center"/>
    </xf>
    <xf numFmtId="0" fontId="8" fillId="0" borderId="0" xfId="8" applyFont="1" applyBorder="1" applyAlignment="1" applyProtection="1">
      <alignment vertical="center"/>
    </xf>
    <xf numFmtId="0" fontId="11" fillId="0" borderId="5" xfId="8" applyFont="1" applyBorder="1" applyAlignment="1" applyProtection="1">
      <alignment vertical="center"/>
    </xf>
    <xf numFmtId="0" fontId="5" fillId="0" borderId="0" xfId="0" applyFont="1" applyBorder="1" applyAlignment="1">
      <alignment vertical="center"/>
    </xf>
    <xf numFmtId="0" fontId="0" fillId="0" borderId="0" xfId="0" applyAlignment="1">
      <alignment vertical="top"/>
    </xf>
    <xf numFmtId="0" fontId="0" fillId="0" borderId="0" xfId="0" applyBorder="1" applyAlignment="1">
      <alignment vertical="top"/>
    </xf>
    <xf numFmtId="0" fontId="0" fillId="0" borderId="5" xfId="0" applyBorder="1"/>
    <xf numFmtId="0" fontId="15" fillId="0" borderId="0" xfId="0" applyFont="1" applyAlignment="1">
      <alignment vertical="center"/>
    </xf>
    <xf numFmtId="0" fontId="0" fillId="0" borderId="4" xfId="0" applyBorder="1" applyAlignment="1">
      <alignment vertical="center"/>
    </xf>
    <xf numFmtId="0" fontId="22" fillId="4" borderId="0" xfId="0" applyFont="1" applyFill="1" applyAlignment="1" applyProtection="1">
      <alignment horizontal="right" vertical="top"/>
    </xf>
    <xf numFmtId="0" fontId="0" fillId="0" borderId="5" xfId="0" applyBorder="1" applyAlignment="1">
      <alignment vertical="center"/>
    </xf>
    <xf numFmtId="0" fontId="15" fillId="0" borderId="2" xfId="0" applyFont="1" applyBorder="1" applyAlignment="1" applyProtection="1">
      <alignment vertical="center"/>
    </xf>
    <xf numFmtId="0" fontId="15" fillId="0" borderId="0" xfId="0" applyFont="1" applyBorder="1" applyAlignment="1" applyProtection="1">
      <alignment vertical="center"/>
    </xf>
    <xf numFmtId="0" fontId="15" fillId="0" borderId="3" xfId="0" applyFont="1" applyBorder="1" applyAlignment="1" applyProtection="1">
      <alignment vertical="center"/>
    </xf>
    <xf numFmtId="0" fontId="15" fillId="0" borderId="5" xfId="0" applyFont="1" applyBorder="1" applyAlignment="1" applyProtection="1">
      <alignment vertical="center"/>
    </xf>
    <xf numFmtId="0" fontId="0" fillId="0" borderId="6" xfId="0" applyBorder="1"/>
    <xf numFmtId="0" fontId="12" fillId="0" borderId="5" xfId="0" applyFont="1" applyBorder="1" applyAlignment="1">
      <alignment vertical="center"/>
    </xf>
    <xf numFmtId="0" fontId="8" fillId="0" borderId="5" xfId="8" applyFont="1" applyBorder="1" applyAlignment="1" applyProtection="1">
      <alignment vertical="center"/>
    </xf>
    <xf numFmtId="0" fontId="0" fillId="0" borderId="0" xfId="0" applyBorder="1"/>
    <xf numFmtId="0" fontId="2" fillId="0" borderId="0" xfId="8" applyFont="1" applyAlignment="1">
      <alignment vertical="center"/>
    </xf>
    <xf numFmtId="0" fontId="7" fillId="0" borderId="0" xfId="0" applyFont="1" applyBorder="1" applyAlignment="1">
      <alignment vertical="center"/>
    </xf>
    <xf numFmtId="0" fontId="6" fillId="3" borderId="7" xfId="0" applyFont="1" applyFill="1" applyBorder="1" applyAlignment="1" applyProtection="1">
      <alignment vertical="center"/>
    </xf>
    <xf numFmtId="0" fontId="6" fillId="3" borderId="8" xfId="0" applyFont="1" applyFill="1" applyBorder="1" applyAlignment="1" applyProtection="1">
      <alignment vertical="center"/>
    </xf>
    <xf numFmtId="0" fontId="6" fillId="3" borderId="8" xfId="0" applyFont="1" applyFill="1" applyBorder="1" applyAlignment="1" applyProtection="1">
      <alignment horizontal="center" vertical="center"/>
    </xf>
    <xf numFmtId="0" fontId="6" fillId="3" borderId="9" xfId="0" applyFont="1" applyFill="1" applyBorder="1" applyAlignment="1" applyProtection="1">
      <alignment vertical="center"/>
    </xf>
    <xf numFmtId="0" fontId="0" fillId="0" borderId="0" xfId="0" applyBorder="1" applyAlignment="1">
      <alignment horizontal="centerContinuous" vertical="top"/>
    </xf>
    <xf numFmtId="0" fontId="1" fillId="0" borderId="0" xfId="0" applyFont="1" applyBorder="1" applyAlignment="1">
      <alignment vertical="top"/>
    </xf>
    <xf numFmtId="0" fontId="0" fillId="0" borderId="2" xfId="0" applyBorder="1"/>
    <xf numFmtId="0" fontId="15" fillId="0" borderId="0" xfId="0" applyFont="1" applyBorder="1" applyAlignment="1">
      <alignment horizontal="left" vertical="top"/>
    </xf>
    <xf numFmtId="0" fontId="27" fillId="0" borderId="0" xfId="0" applyFont="1" applyBorder="1" applyAlignment="1">
      <alignment horizontal="centerContinuous" vertical="top"/>
    </xf>
    <xf numFmtId="0" fontId="1" fillId="0" borderId="0" xfId="0" applyFont="1" applyBorder="1" applyAlignment="1">
      <alignment horizontal="right" vertical="top"/>
    </xf>
    <xf numFmtId="0" fontId="36" fillId="4" borderId="0" xfId="0" applyFont="1" applyFill="1" applyBorder="1" applyAlignment="1" applyProtection="1">
      <alignment horizontal="centerContinuous" vertical="top"/>
    </xf>
    <xf numFmtId="0" fontId="0" fillId="0" borderId="0" xfId="0" applyAlignment="1">
      <alignment horizontal="centerContinuous"/>
    </xf>
    <xf numFmtId="0" fontId="38" fillId="4" borderId="0" xfId="0" applyFont="1" applyFill="1" applyBorder="1" applyAlignment="1" applyProtection="1">
      <alignment horizontal="centerContinuous" vertical="top"/>
    </xf>
    <xf numFmtId="0" fontId="30" fillId="4" borderId="0" xfId="0" applyFont="1" applyFill="1" applyBorder="1" applyAlignment="1" applyProtection="1">
      <alignment horizontal="centerContinuous" vertical="top"/>
    </xf>
    <xf numFmtId="0" fontId="29" fillId="4" borderId="0" xfId="0" applyFont="1" applyFill="1" applyBorder="1" applyAlignment="1" applyProtection="1">
      <alignment horizontal="centerContinuous" vertical="top"/>
    </xf>
    <xf numFmtId="0" fontId="27" fillId="4" borderId="0" xfId="0" applyFont="1" applyFill="1" applyBorder="1" applyAlignment="1" applyProtection="1">
      <alignment horizontal="centerContinuous" vertical="top"/>
    </xf>
    <xf numFmtId="17" fontId="28" fillId="4" borderId="0" xfId="0" applyNumberFormat="1" applyFont="1" applyFill="1" applyBorder="1" applyAlignment="1" applyProtection="1">
      <alignment horizontal="centerContinuous" vertical="top"/>
    </xf>
    <xf numFmtId="49" fontId="20" fillId="4" borderId="0" xfId="0" applyNumberFormat="1" applyFont="1" applyFill="1" applyBorder="1" applyAlignment="1" applyProtection="1">
      <alignment horizontal="centerContinuous" vertical="top"/>
    </xf>
    <xf numFmtId="0" fontId="6" fillId="4" borderId="0" xfId="0" applyFont="1" applyFill="1" applyBorder="1" applyAlignment="1" applyProtection="1">
      <alignment vertical="top"/>
    </xf>
    <xf numFmtId="0" fontId="22" fillId="4" borderId="0" xfId="0" applyFont="1" applyFill="1" applyBorder="1" applyAlignment="1" applyProtection="1">
      <alignment horizontal="centerContinuous" vertical="top"/>
    </xf>
    <xf numFmtId="17" fontId="35" fillId="4" borderId="0" xfId="0" applyNumberFormat="1" applyFont="1" applyFill="1" applyBorder="1" applyAlignment="1" applyProtection="1">
      <alignment horizontal="centerContinuous" vertical="top"/>
    </xf>
    <xf numFmtId="0" fontId="34" fillId="4" borderId="0" xfId="0" applyFont="1" applyFill="1" applyBorder="1" applyAlignment="1" applyProtection="1">
      <alignment vertical="top"/>
    </xf>
    <xf numFmtId="0" fontId="32" fillId="4" borderId="0" xfId="0" applyFont="1" applyFill="1" applyBorder="1" applyAlignment="1" applyProtection="1">
      <alignment horizontal="left" vertical="top"/>
    </xf>
    <xf numFmtId="17" fontId="31" fillId="4" borderId="0" xfId="0" applyNumberFormat="1" applyFont="1" applyFill="1" applyBorder="1" applyAlignment="1" applyProtection="1">
      <alignment horizontal="centerContinuous" vertical="top"/>
    </xf>
    <xf numFmtId="0" fontId="32" fillId="4" borderId="0" xfId="0" applyFont="1" applyFill="1" applyBorder="1" applyAlignment="1" applyProtection="1">
      <alignment horizontal="centerContinuous" vertical="top"/>
    </xf>
    <xf numFmtId="0" fontId="0" fillId="4" borderId="0" xfId="0" applyFill="1" applyBorder="1" applyAlignment="1" applyProtection="1">
      <alignment horizontal="centerContinuous" vertical="top"/>
    </xf>
    <xf numFmtId="0" fontId="33" fillId="4" borderId="0" xfId="0" applyFont="1" applyFill="1" applyBorder="1" applyAlignment="1" applyProtection="1">
      <alignment horizontal="centerContinuous" vertical="top"/>
    </xf>
    <xf numFmtId="0" fontId="22" fillId="4" borderId="0" xfId="0" applyFont="1" applyFill="1" applyBorder="1" applyAlignment="1" applyProtection="1">
      <alignment horizontal="centerContinuous" vertical="center"/>
    </xf>
    <xf numFmtId="17" fontId="35" fillId="4" borderId="0" xfId="0" applyNumberFormat="1" applyFont="1" applyFill="1" applyBorder="1" applyAlignment="1" applyProtection="1">
      <alignment horizontal="centerContinuous" vertical="center"/>
    </xf>
    <xf numFmtId="49" fontId="22" fillId="4" borderId="0" xfId="0" applyNumberFormat="1" applyFont="1" applyFill="1" applyBorder="1" applyAlignment="1" applyProtection="1">
      <alignment horizontal="centerContinuous" vertical="center"/>
    </xf>
    <xf numFmtId="0" fontId="40" fillId="0" borderId="0" xfId="0" applyFont="1" applyAlignment="1">
      <alignment vertical="center"/>
    </xf>
    <xf numFmtId="0" fontId="0" fillId="0" borderId="0" xfId="0" applyAlignment="1">
      <alignment horizontal="left"/>
    </xf>
    <xf numFmtId="0" fontId="42" fillId="4" borderId="0" xfId="0" applyFont="1" applyFill="1" applyBorder="1" applyAlignment="1" applyProtection="1">
      <alignment vertical="top"/>
    </xf>
    <xf numFmtId="0" fontId="6" fillId="4" borderId="1" xfId="0" applyFont="1" applyFill="1" applyBorder="1" applyAlignment="1" applyProtection="1">
      <alignment horizontal="center" vertical="center"/>
    </xf>
    <xf numFmtId="14" fontId="15" fillId="0" borderId="0" xfId="0" applyNumberFormat="1" applyFont="1" applyBorder="1" applyAlignment="1">
      <alignment horizontal="left" vertical="top"/>
    </xf>
    <xf numFmtId="0" fontId="45" fillId="4" borderId="0" xfId="0" applyFont="1" applyFill="1" applyBorder="1" applyAlignment="1" applyProtection="1">
      <alignment horizontal="centerContinuous" vertical="top"/>
    </xf>
    <xf numFmtId="0" fontId="8" fillId="0" borderId="0" xfId="0" applyFont="1" applyAlignment="1">
      <alignment vertical="center"/>
    </xf>
    <xf numFmtId="0" fontId="2" fillId="0" borderId="0" xfId="0" applyFont="1" applyAlignment="1">
      <alignment vertical="center"/>
    </xf>
    <xf numFmtId="0" fontId="10" fillId="0" borderId="0" xfId="0" applyFont="1" applyBorder="1" applyAlignment="1">
      <alignment vertical="center"/>
    </xf>
    <xf numFmtId="0" fontId="5" fillId="0" borderId="0" xfId="8" applyFont="1" applyBorder="1" applyAlignment="1" applyProtection="1">
      <alignment vertical="center"/>
    </xf>
    <xf numFmtId="0" fontId="34" fillId="0" borderId="0" xfId="8" applyFont="1" applyBorder="1" applyAlignment="1" applyProtection="1">
      <alignment vertical="center"/>
    </xf>
    <xf numFmtId="2" fontId="34" fillId="0" borderId="0" xfId="8" applyNumberFormat="1" applyFont="1" applyBorder="1" applyAlignment="1" applyProtection="1">
      <alignment vertical="center"/>
    </xf>
    <xf numFmtId="0" fontId="6" fillId="0" borderId="0" xfId="8" applyFont="1" applyBorder="1" applyAlignment="1" applyProtection="1">
      <alignment vertical="center"/>
    </xf>
    <xf numFmtId="0" fontId="6" fillId="0" borderId="4" xfId="8" applyFont="1" applyBorder="1" applyAlignment="1" applyProtection="1">
      <alignment vertical="center"/>
    </xf>
    <xf numFmtId="183" fontId="25" fillId="4" borderId="5" xfId="8" applyNumberFormat="1" applyFont="1" applyFill="1" applyBorder="1" applyAlignment="1" applyProtection="1">
      <alignment vertical="center"/>
    </xf>
    <xf numFmtId="3" fontId="6" fillId="2" borderId="10" xfId="7" applyNumberFormat="1" applyFont="1" applyFill="1" applyBorder="1" applyAlignment="1" applyProtection="1">
      <alignment horizontal="centerContinuous" vertical="center"/>
      <protection locked="0"/>
    </xf>
    <xf numFmtId="0" fontId="34" fillId="4" borderId="0" xfId="0" applyFont="1" applyFill="1" applyBorder="1" applyAlignment="1" applyProtection="1">
      <alignment horizontal="right" vertical="center"/>
    </xf>
    <xf numFmtId="0" fontId="20" fillId="4" borderId="0" xfId="0" applyFont="1" applyFill="1" applyBorder="1" applyAlignment="1" applyProtection="1">
      <alignment horizontal="right" vertical="center"/>
    </xf>
    <xf numFmtId="0" fontId="34" fillId="0" borderId="5" xfId="8" applyFont="1" applyBorder="1" applyAlignment="1" applyProtection="1">
      <alignment vertical="center"/>
    </xf>
    <xf numFmtId="0" fontId="15" fillId="0" borderId="5" xfId="8" applyFont="1" applyBorder="1" applyAlignment="1" applyProtection="1">
      <alignment horizontal="left" vertical="center"/>
    </xf>
    <xf numFmtId="0" fontId="15" fillId="0" borderId="0" xfId="8" applyFont="1" applyBorder="1" applyAlignment="1" applyProtection="1">
      <alignment vertical="center"/>
    </xf>
    <xf numFmtId="0" fontId="15" fillId="0" borderId="5" xfId="8" applyFont="1" applyBorder="1" applyAlignment="1" applyProtection="1">
      <alignment vertical="center"/>
    </xf>
    <xf numFmtId="0" fontId="11" fillId="0" borderId="11" xfId="8" applyFont="1" applyBorder="1" applyAlignment="1" applyProtection="1">
      <alignment vertical="center"/>
    </xf>
    <xf numFmtId="0" fontId="2" fillId="0" borderId="0" xfId="0" applyFont="1" applyBorder="1" applyAlignment="1">
      <alignment vertical="center"/>
    </xf>
    <xf numFmtId="0" fontId="22" fillId="0" borderId="0" xfId="0" applyFont="1" applyBorder="1" applyAlignment="1">
      <alignment vertical="center"/>
    </xf>
    <xf numFmtId="0" fontId="21" fillId="0" borderId="0" xfId="0" applyFont="1" applyBorder="1" applyAlignment="1">
      <alignment vertical="center"/>
    </xf>
    <xf numFmtId="0" fontId="4" fillId="0" borderId="0" xfId="0" applyFont="1" applyAlignment="1">
      <alignment vertical="center"/>
    </xf>
    <xf numFmtId="0" fontId="14" fillId="0" borderId="0" xfId="0" applyFont="1" applyBorder="1" applyAlignment="1">
      <alignment vertical="center"/>
    </xf>
    <xf numFmtId="0" fontId="9" fillId="0" borderId="0" xfId="0" applyFont="1" applyAlignment="1">
      <alignment vertical="center"/>
    </xf>
    <xf numFmtId="14" fontId="15" fillId="0" borderId="0" xfId="0" applyNumberFormat="1" applyFont="1" applyAlignment="1">
      <alignment vertical="center"/>
    </xf>
    <xf numFmtId="0" fontId="12" fillId="0" borderId="0" xfId="0" applyFont="1" applyBorder="1" applyAlignment="1">
      <alignment vertical="center"/>
    </xf>
    <xf numFmtId="0" fontId="12" fillId="0" borderId="0" xfId="0" applyFont="1" applyFill="1" applyBorder="1" applyAlignment="1">
      <alignment vertical="center"/>
    </xf>
    <xf numFmtId="0" fontId="12" fillId="0" borderId="0" xfId="8" applyFont="1" applyFill="1" applyBorder="1" applyAlignment="1" applyProtection="1">
      <alignment vertical="center"/>
    </xf>
    <xf numFmtId="0" fontId="12" fillId="0" borderId="0" xfId="8" applyFont="1" applyBorder="1" applyAlignment="1" applyProtection="1">
      <alignment vertical="center"/>
    </xf>
    <xf numFmtId="9" fontId="12" fillId="0" borderId="0" xfId="8" applyNumberFormat="1" applyFont="1" applyBorder="1" applyAlignment="1" applyProtection="1">
      <alignment vertical="center"/>
    </xf>
    <xf numFmtId="0" fontId="12" fillId="4" borderId="0" xfId="8" applyFont="1" applyFill="1" applyBorder="1" applyAlignment="1" applyProtection="1">
      <alignment vertical="center"/>
    </xf>
    <xf numFmtId="0" fontId="12" fillId="0" borderId="11" xfId="0" applyFont="1" applyBorder="1" applyAlignment="1">
      <alignment vertical="center"/>
    </xf>
    <xf numFmtId="185" fontId="15" fillId="0" borderId="0" xfId="8" applyNumberFormat="1" applyFont="1" applyBorder="1" applyAlignment="1" applyProtection="1">
      <alignment vertical="center"/>
    </xf>
    <xf numFmtId="0" fontId="12" fillId="4" borderId="5" xfId="8" applyFont="1" applyFill="1" applyBorder="1" applyAlignment="1" applyProtection="1">
      <alignment vertical="center"/>
    </xf>
    <xf numFmtId="0" fontId="12" fillId="4" borderId="6" xfId="8" applyFont="1" applyFill="1" applyBorder="1" applyAlignment="1" applyProtection="1">
      <alignment vertical="center"/>
    </xf>
    <xf numFmtId="0" fontId="0" fillId="0" borderId="2" xfId="0" applyBorder="1" applyAlignment="1">
      <alignment vertical="center"/>
    </xf>
    <xf numFmtId="166" fontId="2" fillId="0" borderId="0" xfId="8" applyNumberFormat="1" applyFont="1" applyBorder="1" applyAlignment="1" applyProtection="1">
      <alignment vertical="center"/>
    </xf>
    <xf numFmtId="0" fontId="10" fillId="0" borderId="0" xfId="8" applyFont="1" applyBorder="1" applyAlignment="1" applyProtection="1">
      <alignment vertical="center"/>
    </xf>
    <xf numFmtId="0" fontId="22" fillId="0" borderId="0" xfId="0" applyFont="1" applyAlignment="1">
      <alignment horizontal="right" vertical="center"/>
    </xf>
    <xf numFmtId="0" fontId="25" fillId="0" borderId="0" xfId="0" applyFont="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horizontal="right" vertical="center"/>
    </xf>
    <xf numFmtId="0" fontId="0" fillId="0" borderId="0" xfId="0" applyAlignment="1" applyProtection="1">
      <alignment vertical="center"/>
    </xf>
    <xf numFmtId="0" fontId="34" fillId="0" borderId="0" xfId="0" applyFont="1" applyAlignment="1" applyProtection="1">
      <alignment horizontal="right" vertical="center"/>
    </xf>
    <xf numFmtId="14" fontId="25" fillId="0" borderId="0" xfId="0" applyNumberFormat="1" applyFont="1" applyAlignment="1" applyProtection="1">
      <alignment horizontal="left" vertical="center"/>
    </xf>
    <xf numFmtId="0" fontId="25" fillId="0" borderId="0" xfId="0" applyFont="1" applyBorder="1" applyAlignment="1" applyProtection="1">
      <alignment vertical="center"/>
    </xf>
    <xf numFmtId="0" fontId="25" fillId="0" borderId="0" xfId="0" applyFont="1" applyBorder="1" applyAlignment="1" applyProtection="1">
      <alignment horizontal="left" vertical="center"/>
    </xf>
    <xf numFmtId="0" fontId="0" fillId="0" borderId="4" xfId="0" applyBorder="1" applyAlignment="1" applyProtection="1">
      <alignment vertical="center"/>
    </xf>
    <xf numFmtId="0" fontId="20" fillId="0" borderId="0" xfId="0" applyFont="1" applyBorder="1" applyAlignment="1" applyProtection="1">
      <alignment vertical="center"/>
    </xf>
    <xf numFmtId="0" fontId="6" fillId="0" borderId="4" xfId="0" applyFont="1" applyBorder="1" applyAlignment="1" applyProtection="1">
      <alignment vertical="center"/>
    </xf>
    <xf numFmtId="0" fontId="34" fillId="0" borderId="4" xfId="0" applyFont="1" applyBorder="1" applyAlignment="1" applyProtection="1">
      <alignment vertical="center"/>
    </xf>
    <xf numFmtId="0" fontId="34" fillId="0" borderId="2" xfId="0" applyFont="1" applyBorder="1" applyAlignment="1" applyProtection="1">
      <alignment vertical="center"/>
    </xf>
    <xf numFmtId="0" fontId="17" fillId="0" borderId="0" xfId="0" applyFont="1" applyBorder="1" applyAlignment="1" applyProtection="1">
      <alignment vertical="center"/>
    </xf>
    <xf numFmtId="0" fontId="34" fillId="0" borderId="0" xfId="0" applyFont="1" applyBorder="1" applyAlignment="1" applyProtection="1">
      <alignment vertical="center"/>
    </xf>
    <xf numFmtId="0" fontId="2" fillId="0" borderId="0" xfId="0" applyFont="1" applyBorder="1" applyAlignment="1" applyProtection="1">
      <alignment horizontal="left" vertical="center"/>
    </xf>
    <xf numFmtId="0" fontId="25" fillId="0" borderId="4" xfId="0" applyFont="1" applyBorder="1" applyAlignment="1" applyProtection="1">
      <alignment vertical="center"/>
    </xf>
    <xf numFmtId="1" fontId="6" fillId="4" borderId="10" xfId="0" applyNumberFormat="1" applyFont="1" applyFill="1" applyBorder="1" applyAlignment="1" applyProtection="1">
      <alignment horizontal="right" vertical="center"/>
    </xf>
    <xf numFmtId="0" fontId="6" fillId="0" borderId="0" xfId="0" applyFont="1" applyBorder="1" applyAlignment="1" applyProtection="1">
      <alignment vertical="center"/>
    </xf>
    <xf numFmtId="0" fontId="15" fillId="0" borderId="0" xfId="0" applyFont="1" applyBorder="1" applyAlignment="1" applyProtection="1">
      <alignment horizontal="left" vertical="center"/>
    </xf>
    <xf numFmtId="180" fontId="6" fillId="0" borderId="12" xfId="0" applyNumberFormat="1" applyFont="1" applyBorder="1" applyAlignment="1" applyProtection="1">
      <alignment horizontal="right" vertical="center"/>
    </xf>
    <xf numFmtId="1" fontId="6" fillId="4" borderId="2" xfId="0" applyNumberFormat="1" applyFont="1" applyFill="1" applyBorder="1" applyAlignment="1" applyProtection="1">
      <alignment horizontal="right" vertical="center"/>
    </xf>
    <xf numFmtId="0" fontId="25" fillId="0" borderId="5" xfId="0" applyFont="1" applyBorder="1" applyAlignment="1" applyProtection="1">
      <alignment vertical="center"/>
    </xf>
    <xf numFmtId="0" fontId="6" fillId="0" borderId="0" xfId="0" applyFont="1" applyBorder="1" applyAlignment="1" applyProtection="1">
      <alignment horizontal="left" vertical="center"/>
    </xf>
    <xf numFmtId="0" fontId="34" fillId="0" borderId="0" xfId="0" applyFont="1" applyBorder="1" applyAlignment="1" applyProtection="1">
      <alignment horizontal="left" vertical="center"/>
    </xf>
    <xf numFmtId="0" fontId="0" fillId="0" borderId="0" xfId="0" applyBorder="1" applyAlignment="1" applyProtection="1">
      <alignment vertical="center"/>
    </xf>
    <xf numFmtId="0" fontId="25" fillId="0" borderId="2" xfId="0" applyFont="1" applyBorder="1" applyAlignment="1" applyProtection="1">
      <alignment vertical="center"/>
    </xf>
    <xf numFmtId="0" fontId="25" fillId="0" borderId="12" xfId="0" applyFont="1" applyBorder="1" applyAlignment="1" applyProtection="1">
      <alignment horizontal="right" vertical="center"/>
    </xf>
    <xf numFmtId="180" fontId="8" fillId="4" borderId="2" xfId="7" applyNumberFormat="1" applyFont="1" applyFill="1" applyBorder="1" applyAlignment="1" applyProtection="1">
      <alignment horizontal="center" vertical="center"/>
    </xf>
    <xf numFmtId="3" fontId="8" fillId="4" borderId="2" xfId="7" applyNumberFormat="1" applyFont="1" applyFill="1" applyBorder="1" applyAlignment="1" applyProtection="1">
      <alignment horizontal="center" vertical="center"/>
    </xf>
    <xf numFmtId="0" fontId="34" fillId="0" borderId="5" xfId="0" applyFont="1" applyBorder="1" applyAlignment="1" applyProtection="1">
      <alignment vertical="center"/>
    </xf>
    <xf numFmtId="180" fontId="6" fillId="0" borderId="13" xfId="7" applyNumberFormat="1" applyFont="1" applyBorder="1" applyAlignment="1" applyProtection="1">
      <alignment horizontal="right" vertical="center"/>
    </xf>
    <xf numFmtId="172" fontId="6" fillId="0" borderId="10" xfId="7" applyNumberFormat="1" applyFont="1" applyBorder="1" applyAlignment="1" applyProtection="1">
      <alignment vertical="center"/>
    </xf>
    <xf numFmtId="0" fontId="0" fillId="0" borderId="5" xfId="0" applyBorder="1" applyAlignment="1" applyProtection="1">
      <alignment vertical="center"/>
    </xf>
    <xf numFmtId="0" fontId="25" fillId="0" borderId="10" xfId="0" applyFont="1" applyBorder="1" applyAlignment="1" applyProtection="1">
      <alignment vertical="center"/>
    </xf>
    <xf numFmtId="180" fontId="6" fillId="0" borderId="13" xfId="0" applyNumberFormat="1" applyFont="1" applyBorder="1" applyAlignment="1" applyProtection="1">
      <alignment horizontal="right" vertical="center"/>
    </xf>
    <xf numFmtId="172" fontId="6" fillId="0" borderId="10" xfId="0" applyNumberFormat="1" applyFont="1" applyBorder="1" applyAlignment="1" applyProtection="1">
      <alignment horizontal="center" vertical="center"/>
    </xf>
    <xf numFmtId="0" fontId="25" fillId="0" borderId="3" xfId="0" applyFont="1" applyBorder="1" applyAlignment="1" applyProtection="1">
      <alignment vertical="center"/>
    </xf>
    <xf numFmtId="0" fontId="6" fillId="0" borderId="14" xfId="8" applyFont="1" applyBorder="1" applyAlignment="1" applyProtection="1">
      <alignment vertical="center"/>
    </xf>
    <xf numFmtId="0" fontId="25" fillId="0" borderId="14" xfId="0" applyFont="1" applyBorder="1" applyAlignment="1" applyProtection="1">
      <alignment horizontal="center" vertical="center"/>
    </xf>
    <xf numFmtId="0" fontId="25" fillId="0" borderId="14" xfId="0" applyFont="1" applyBorder="1" applyAlignment="1" applyProtection="1">
      <alignment vertical="center"/>
    </xf>
    <xf numFmtId="180" fontId="6" fillId="0" borderId="15" xfId="7" applyNumberFormat="1" applyFont="1" applyBorder="1" applyAlignment="1" applyProtection="1">
      <alignment horizontal="right" vertical="center"/>
    </xf>
    <xf numFmtId="172" fontId="6" fillId="0" borderId="16" xfId="0" applyNumberFormat="1" applyFont="1" applyBorder="1" applyAlignment="1" applyProtection="1">
      <alignment horizontal="right" vertical="center"/>
    </xf>
    <xf numFmtId="0" fontId="25" fillId="0" borderId="17" xfId="0" applyFont="1" applyBorder="1" applyAlignment="1" applyProtection="1">
      <alignment vertical="center"/>
    </xf>
    <xf numFmtId="0" fontId="25" fillId="0" borderId="17" xfId="8" applyFont="1" applyBorder="1" applyAlignment="1" applyProtection="1">
      <alignment vertical="center"/>
    </xf>
    <xf numFmtId="0" fontId="25" fillId="0" borderId="0" xfId="0" applyFont="1" applyBorder="1" applyAlignment="1" applyProtection="1">
      <alignment horizontal="center" vertical="center"/>
    </xf>
    <xf numFmtId="0" fontId="34" fillId="0" borderId="4" xfId="8" applyFont="1" applyBorder="1" applyAlignment="1" applyProtection="1">
      <alignment vertical="center"/>
    </xf>
    <xf numFmtId="0" fontId="25" fillId="0" borderId="0" xfId="0" applyFont="1" applyBorder="1" applyAlignment="1" applyProtection="1">
      <alignment horizontal="right" vertical="center"/>
    </xf>
    <xf numFmtId="0" fontId="8" fillId="0" borderId="10" xfId="0" applyFont="1" applyBorder="1" applyAlignment="1" applyProtection="1">
      <alignment vertical="center"/>
    </xf>
    <xf numFmtId="170" fontId="25" fillId="0" borderId="6" xfId="0" applyNumberFormat="1" applyFont="1" applyBorder="1" applyAlignment="1" applyProtection="1">
      <alignment horizontal="right" vertical="center"/>
    </xf>
    <xf numFmtId="0" fontId="25" fillId="0" borderId="18" xfId="0" applyFont="1" applyBorder="1" applyAlignment="1" applyProtection="1">
      <alignment vertical="center"/>
    </xf>
    <xf numFmtId="180" fontId="6" fillId="0" borderId="12" xfId="7" applyNumberFormat="1" applyFont="1" applyBorder="1" applyAlignment="1" applyProtection="1">
      <alignment horizontal="right" vertical="center"/>
    </xf>
    <xf numFmtId="0" fontId="25" fillId="4" borderId="0" xfId="0" applyFont="1" applyFill="1" applyBorder="1" applyAlignment="1" applyProtection="1">
      <alignment vertical="center"/>
    </xf>
    <xf numFmtId="0" fontId="15" fillId="0" borderId="4" xfId="0" applyFont="1" applyBorder="1" applyAlignment="1" applyProtection="1">
      <alignment horizontal="left" vertical="center"/>
    </xf>
    <xf numFmtId="0" fontId="15" fillId="0" borderId="0" xfId="0" applyFont="1" applyAlignment="1" applyProtection="1">
      <alignment horizontal="left" vertical="center"/>
    </xf>
    <xf numFmtId="171" fontId="15" fillId="2" borderId="2" xfId="7" applyNumberFormat="1" applyFont="1" applyFill="1" applyBorder="1" applyAlignment="1" applyProtection="1">
      <alignment horizontal="right" vertical="center"/>
      <protection locked="0"/>
    </xf>
    <xf numFmtId="179" fontId="15" fillId="2" borderId="2" xfId="7" applyNumberFormat="1" applyFont="1" applyFill="1" applyBorder="1" applyAlignment="1" applyProtection="1">
      <alignment horizontal="right" vertical="center"/>
      <protection locked="0"/>
    </xf>
    <xf numFmtId="2" fontId="15" fillId="0" borderId="0" xfId="8" applyNumberFormat="1" applyFont="1" applyBorder="1" applyAlignment="1" applyProtection="1">
      <alignment vertical="center"/>
    </xf>
    <xf numFmtId="175" fontId="15" fillId="0" borderId="0" xfId="8" applyNumberFormat="1" applyFont="1" applyBorder="1" applyAlignment="1" applyProtection="1">
      <alignment vertical="center"/>
    </xf>
    <xf numFmtId="0" fontId="15" fillId="0" borderId="0" xfId="0" applyFont="1" applyAlignment="1" applyProtection="1">
      <alignment vertical="center"/>
    </xf>
    <xf numFmtId="180" fontId="15" fillId="2" borderId="3" xfId="7" applyNumberFormat="1" applyFont="1" applyFill="1" applyBorder="1" applyAlignment="1" applyProtection="1">
      <alignment vertical="center"/>
      <protection locked="0"/>
    </xf>
    <xf numFmtId="0" fontId="15" fillId="0" borderId="19" xfId="0" applyFont="1" applyBorder="1" applyAlignment="1" applyProtection="1">
      <alignment vertical="center"/>
    </xf>
    <xf numFmtId="0" fontId="15" fillId="0" borderId="0" xfId="0" applyFont="1" applyBorder="1" applyAlignment="1" applyProtection="1"/>
    <xf numFmtId="0" fontId="0" fillId="0" borderId="0" xfId="0" applyAlignment="1" applyProtection="1">
      <alignment vertical="top"/>
    </xf>
    <xf numFmtId="0" fontId="21" fillId="0" borderId="0" xfId="0" applyFont="1" applyBorder="1" applyAlignment="1" applyProtection="1">
      <alignment horizontal="left" vertical="top"/>
    </xf>
    <xf numFmtId="0" fontId="0" fillId="0" borderId="0" xfId="0" applyProtection="1"/>
    <xf numFmtId="0" fontId="15" fillId="0" borderId="0" xfId="0" applyFont="1" applyAlignment="1" applyProtection="1">
      <alignment horizontal="left" vertical="top"/>
    </xf>
    <xf numFmtId="0" fontId="8" fillId="0" borderId="0" xfId="0" applyFont="1" applyBorder="1" applyAlignment="1" applyProtection="1">
      <alignment vertical="top"/>
    </xf>
    <xf numFmtId="0" fontId="21" fillId="0" borderId="0" xfId="0" applyFont="1" applyBorder="1" applyAlignment="1" applyProtection="1">
      <alignment horizontal="right" vertical="top"/>
    </xf>
    <xf numFmtId="0" fontId="9" fillId="0" borderId="0" xfId="0" applyFont="1" applyAlignment="1" applyProtection="1">
      <alignment horizontal="right" vertical="center"/>
    </xf>
    <xf numFmtId="49" fontId="26" fillId="0" borderId="0" xfId="0" applyNumberFormat="1" applyFont="1" applyBorder="1" applyAlignment="1" applyProtection="1">
      <alignment vertical="center"/>
    </xf>
    <xf numFmtId="0" fontId="4" fillId="0" borderId="0" xfId="0" applyFont="1" applyBorder="1" applyAlignment="1" applyProtection="1">
      <alignment vertical="top"/>
    </xf>
    <xf numFmtId="0" fontId="4" fillId="0" borderId="10" xfId="0" applyFont="1" applyBorder="1" applyAlignment="1" applyProtection="1">
      <alignment vertical="center"/>
    </xf>
    <xf numFmtId="0" fontId="8" fillId="0" borderId="4" xfId="0" applyFont="1" applyBorder="1" applyAlignment="1" applyProtection="1">
      <alignment vertical="center"/>
    </xf>
    <xf numFmtId="0" fontId="0" fillId="0" borderId="4" xfId="0" applyBorder="1" applyAlignment="1" applyProtection="1">
      <alignment horizontal="centerContinuous" vertical="center"/>
    </xf>
    <xf numFmtId="0" fontId="12" fillId="0" borderId="20" xfId="0" applyFont="1" applyBorder="1" applyAlignment="1" applyProtection="1">
      <alignment horizontal="centerContinuous" vertical="center"/>
    </xf>
    <xf numFmtId="0" fontId="4" fillId="0" borderId="2" xfId="0" applyFont="1" applyBorder="1" applyAlignment="1" applyProtection="1">
      <alignment vertical="center"/>
    </xf>
    <xf numFmtId="0" fontId="6" fillId="0" borderId="21" xfId="0" applyFont="1" applyBorder="1" applyAlignment="1" applyProtection="1">
      <alignment horizontal="center" vertical="center"/>
    </xf>
    <xf numFmtId="0" fontId="12" fillId="0" borderId="22" xfId="0" applyFont="1" applyBorder="1" applyAlignment="1" applyProtection="1">
      <alignment horizontal="center" vertical="center"/>
    </xf>
    <xf numFmtId="0" fontId="12" fillId="0" borderId="23" xfId="0" applyFont="1" applyBorder="1" applyAlignment="1" applyProtection="1">
      <alignment horizontal="center" vertical="center"/>
    </xf>
    <xf numFmtId="0" fontId="16" fillId="0" borderId="0" xfId="0" applyFont="1" applyAlignment="1" applyProtection="1">
      <alignment vertical="center"/>
    </xf>
    <xf numFmtId="0" fontId="13" fillId="0" borderId="10" xfId="0" applyFont="1" applyBorder="1" applyAlignment="1" applyProtection="1">
      <alignment vertical="center"/>
    </xf>
    <xf numFmtId="0" fontId="23" fillId="0" borderId="0" xfId="0" applyFont="1" applyAlignment="1" applyProtection="1">
      <alignment vertical="center"/>
    </xf>
    <xf numFmtId="0" fontId="17" fillId="0" borderId="2" xfId="0" applyFont="1" applyBorder="1" applyAlignment="1" applyProtection="1">
      <alignment vertical="center"/>
    </xf>
    <xf numFmtId="0" fontId="8" fillId="0" borderId="0" xfId="0" applyFont="1" applyBorder="1" applyAlignment="1" applyProtection="1">
      <alignment vertical="center"/>
    </xf>
    <xf numFmtId="0" fontId="8" fillId="0" borderId="5" xfId="0" applyFont="1" applyBorder="1" applyAlignment="1" applyProtection="1">
      <alignment vertical="center"/>
    </xf>
    <xf numFmtId="0" fontId="15" fillId="0" borderId="24" xfId="0" applyFont="1" applyBorder="1" applyAlignment="1" applyProtection="1">
      <alignment vertical="center"/>
    </xf>
    <xf numFmtId="0" fontId="13" fillId="0" borderId="11" xfId="0" applyFont="1" applyBorder="1" applyAlignment="1" applyProtection="1">
      <alignment vertical="center"/>
    </xf>
    <xf numFmtId="0" fontId="15" fillId="0" borderId="11" xfId="0" applyFont="1" applyBorder="1" applyAlignment="1" applyProtection="1">
      <alignment vertical="center"/>
    </xf>
    <xf numFmtId="0" fontId="0" fillId="0" borderId="0" xfId="0" applyFill="1" applyAlignment="1" applyProtection="1">
      <alignment vertical="top"/>
    </xf>
    <xf numFmtId="0" fontId="13" fillId="0" borderId="4" xfId="0" applyFont="1" applyBorder="1" applyAlignment="1" applyProtection="1">
      <alignment vertical="center"/>
    </xf>
    <xf numFmtId="0" fontId="8" fillId="4" borderId="5" xfId="0" applyFont="1" applyFill="1" applyBorder="1" applyAlignment="1" applyProtection="1">
      <alignment vertical="center"/>
    </xf>
    <xf numFmtId="49" fontId="15" fillId="0" borderId="0" xfId="0" applyNumberFormat="1" applyFont="1" applyBorder="1" applyAlignment="1" applyProtection="1">
      <alignment vertical="center"/>
    </xf>
    <xf numFmtId="0" fontId="13" fillId="0" borderId="24" xfId="0" applyFont="1" applyBorder="1" applyAlignment="1" applyProtection="1">
      <alignment vertical="center"/>
    </xf>
    <xf numFmtId="0" fontId="8" fillId="0" borderId="11" xfId="0" applyFont="1" applyBorder="1" applyAlignment="1" applyProtection="1">
      <alignment vertical="center"/>
    </xf>
    <xf numFmtId="0" fontId="13" fillId="0" borderId="0" xfId="0" applyFont="1" applyBorder="1" applyAlignment="1" applyProtection="1">
      <alignment vertical="center"/>
    </xf>
    <xf numFmtId="175" fontId="8" fillId="4" borderId="0" xfId="0" applyNumberFormat="1" applyFont="1" applyFill="1" applyBorder="1" applyAlignment="1" applyProtection="1">
      <alignment vertical="center"/>
    </xf>
    <xf numFmtId="0" fontId="0" fillId="0" borderId="4" xfId="0" applyBorder="1" applyProtection="1"/>
    <xf numFmtId="0" fontId="13" fillId="0" borderId="2" xfId="0" applyFont="1" applyBorder="1" applyAlignment="1" applyProtection="1">
      <alignment vertical="center"/>
    </xf>
    <xf numFmtId="0" fontId="0" fillId="0" borderId="0" xfId="0" applyBorder="1" applyProtection="1"/>
    <xf numFmtId="0" fontId="20" fillId="4" borderId="0" xfId="0" applyFont="1" applyFill="1" applyBorder="1" applyAlignment="1" applyProtection="1">
      <alignment horizontal="right" vertical="top"/>
    </xf>
    <xf numFmtId="0" fontId="22" fillId="0" borderId="0" xfId="0" applyFont="1" applyBorder="1" applyAlignment="1" applyProtection="1">
      <alignment vertical="top"/>
    </xf>
    <xf numFmtId="0" fontId="17" fillId="0" borderId="10" xfId="0" applyFont="1" applyBorder="1" applyAlignment="1" applyProtection="1">
      <alignment vertical="center"/>
    </xf>
    <xf numFmtId="0" fontId="6" fillId="0" borderId="24" xfId="0" applyFont="1" applyBorder="1" applyAlignment="1" applyProtection="1">
      <alignment horizontal="centerContinuous" vertical="center"/>
    </xf>
    <xf numFmtId="0" fontId="6" fillId="0" borderId="25" xfId="0" applyFont="1" applyBorder="1" applyAlignment="1" applyProtection="1">
      <alignment horizontal="centerContinuous" vertical="center"/>
    </xf>
    <xf numFmtId="0" fontId="6" fillId="0" borderId="21" xfId="0" applyFont="1" applyBorder="1" applyAlignment="1" applyProtection="1">
      <alignment horizontal="centerContinuous" vertical="center"/>
    </xf>
    <xf numFmtId="0" fontId="6" fillId="0" borderId="26" xfId="0" applyFont="1" applyBorder="1" applyAlignment="1" applyProtection="1">
      <alignment horizontal="centerContinuous" vertical="center"/>
    </xf>
    <xf numFmtId="0" fontId="0" fillId="0" borderId="13" xfId="0" applyBorder="1" applyAlignment="1" applyProtection="1">
      <alignment vertical="center"/>
    </xf>
    <xf numFmtId="0" fontId="0" fillId="0" borderId="2" xfId="0" applyBorder="1" applyProtection="1"/>
    <xf numFmtId="0" fontId="4" fillId="0" borderId="3" xfId="0" applyFont="1" applyBorder="1" applyAlignment="1" applyProtection="1">
      <alignment vertical="center"/>
    </xf>
    <xf numFmtId="0" fontId="6" fillId="0" borderId="2" xfId="0" applyFont="1" applyBorder="1" applyAlignment="1" applyProtection="1">
      <alignment vertical="center"/>
    </xf>
    <xf numFmtId="0" fontId="1" fillId="0" borderId="4" xfId="0" applyFont="1" applyBorder="1" applyAlignment="1" applyProtection="1">
      <alignment horizontal="centerContinuous" vertical="center"/>
    </xf>
    <xf numFmtId="0" fontId="13" fillId="0" borderId="20" xfId="0" applyFont="1" applyBorder="1" applyAlignment="1" applyProtection="1">
      <alignment horizontal="centerContinuous" vertical="center"/>
    </xf>
    <xf numFmtId="178" fontId="8" fillId="4" borderId="27" xfId="0" applyNumberFormat="1" applyFont="1" applyFill="1" applyBorder="1" applyAlignment="1" applyProtection="1">
      <alignment vertical="center"/>
    </xf>
    <xf numFmtId="178" fontId="8" fillId="0" borderId="23" xfId="0" applyNumberFormat="1" applyFont="1" applyBorder="1" applyAlignment="1" applyProtection="1">
      <alignment vertical="center"/>
    </xf>
    <xf numFmtId="0" fontId="0" fillId="0" borderId="3" xfId="0" applyBorder="1" applyProtection="1"/>
    <xf numFmtId="0" fontId="0" fillId="0" borderId="5" xfId="0" applyBorder="1" applyProtection="1"/>
    <xf numFmtId="3" fontId="8" fillId="4" borderId="0" xfId="0" applyNumberFormat="1" applyFont="1" applyFill="1" applyBorder="1" applyAlignment="1" applyProtection="1">
      <alignment vertical="center"/>
    </xf>
    <xf numFmtId="0" fontId="15" fillId="0" borderId="4" xfId="0" applyFont="1" applyBorder="1" applyAlignment="1" applyProtection="1">
      <alignment vertical="center"/>
    </xf>
    <xf numFmtId="178" fontId="8" fillId="4" borderId="0" xfId="0" applyNumberFormat="1" applyFont="1" applyFill="1" applyBorder="1" applyAlignment="1" applyProtection="1">
      <alignment vertical="center"/>
    </xf>
    <xf numFmtId="178" fontId="19" fillId="0" borderId="5" xfId="0" applyNumberFormat="1" applyFont="1" applyBorder="1" applyAlignment="1" applyProtection="1">
      <alignment vertical="center"/>
    </xf>
    <xf numFmtId="0" fontId="2" fillId="0" borderId="0" xfId="0" applyFont="1" applyAlignment="1" applyProtection="1">
      <alignment vertical="center"/>
    </xf>
    <xf numFmtId="0" fontId="25" fillId="4" borderId="0" xfId="0" applyFont="1" applyFill="1" applyAlignment="1" applyProtection="1">
      <alignment horizontal="center" vertical="center"/>
    </xf>
    <xf numFmtId="0" fontId="0" fillId="4" borderId="0" xfId="0" applyFill="1" applyAlignment="1" applyProtection="1">
      <alignment vertical="center"/>
    </xf>
    <xf numFmtId="0" fontId="8" fillId="4" borderId="0" xfId="0" applyFont="1" applyFill="1" applyBorder="1" applyAlignment="1" applyProtection="1">
      <alignment horizontal="left" vertical="center"/>
    </xf>
    <xf numFmtId="0" fontId="50" fillId="4" borderId="0" xfId="0" applyFont="1" applyFill="1" applyAlignment="1" applyProtection="1">
      <alignment horizontal="left" vertical="center"/>
    </xf>
    <xf numFmtId="0" fontId="51" fillId="4" borderId="0" xfId="0" applyFont="1" applyFill="1" applyAlignment="1" applyProtection="1">
      <alignment horizontal="center" vertical="center"/>
    </xf>
    <xf numFmtId="0" fontId="50" fillId="0" borderId="0" xfId="0" applyFont="1" applyAlignment="1" applyProtection="1">
      <alignment vertical="center"/>
    </xf>
    <xf numFmtId="0" fontId="51" fillId="0" borderId="0" xfId="0" applyFont="1" applyAlignment="1" applyProtection="1">
      <alignment vertical="center"/>
    </xf>
    <xf numFmtId="0" fontId="51" fillId="0" borderId="0" xfId="0" applyFont="1" applyAlignment="1" applyProtection="1">
      <alignment horizontal="right" vertical="center"/>
    </xf>
    <xf numFmtId="14" fontId="50" fillId="0" borderId="0" xfId="0" applyNumberFormat="1" applyFont="1" applyAlignment="1" applyProtection="1">
      <alignment vertical="center"/>
    </xf>
    <xf numFmtId="0" fontId="49" fillId="0" borderId="0" xfId="0" applyFont="1" applyAlignment="1" applyProtection="1">
      <alignment vertical="center"/>
    </xf>
    <xf numFmtId="0" fontId="6" fillId="4" borderId="0" xfId="0" applyFont="1" applyFill="1" applyBorder="1" applyAlignment="1" applyProtection="1">
      <alignment horizontal="center" vertical="center"/>
    </xf>
    <xf numFmtId="171" fontId="25" fillId="4" borderId="0" xfId="7" applyNumberFormat="1" applyFont="1" applyFill="1" applyBorder="1" applyAlignment="1" applyProtection="1">
      <alignment horizontal="center" vertical="center"/>
    </xf>
    <xf numFmtId="1" fontId="6" fillId="4" borderId="0" xfId="0" applyNumberFormat="1" applyFont="1" applyFill="1" applyBorder="1" applyAlignment="1" applyProtection="1">
      <alignment horizontal="center" vertical="center"/>
    </xf>
    <xf numFmtId="177" fontId="25" fillId="4" borderId="0" xfId="7" applyNumberFormat="1" applyFont="1" applyFill="1" applyBorder="1" applyAlignment="1" applyProtection="1">
      <alignment horizontal="center" vertical="center"/>
    </xf>
    <xf numFmtId="0" fontId="34" fillId="0" borderId="0" xfId="0" applyFont="1" applyAlignment="1" applyProtection="1">
      <alignment vertical="center"/>
    </xf>
    <xf numFmtId="180" fontId="6" fillId="4" borderId="0" xfId="7" applyNumberFormat="1" applyFont="1" applyFill="1" applyBorder="1" applyAlignment="1" applyProtection="1">
      <alignment horizontal="center" vertical="center"/>
    </xf>
    <xf numFmtId="0" fontId="2" fillId="0" borderId="0" xfId="0" applyFont="1" applyBorder="1" applyAlignment="1" applyProtection="1">
      <alignment horizontal="right" vertical="center"/>
    </xf>
    <xf numFmtId="0" fontId="25" fillId="4" borderId="0" xfId="0" applyFont="1" applyFill="1" applyBorder="1" applyAlignment="1" applyProtection="1">
      <alignment horizontal="center" vertical="center"/>
    </xf>
    <xf numFmtId="0" fontId="15" fillId="0" borderId="0" xfId="0" applyFont="1" applyAlignment="1" applyProtection="1"/>
    <xf numFmtId="0" fontId="0" fillId="4" borderId="0" xfId="0" applyFill="1" applyBorder="1" applyAlignment="1" applyProtection="1">
      <alignment horizontal="center" vertical="center"/>
    </xf>
    <xf numFmtId="0" fontId="15" fillId="4" borderId="0" xfId="0" applyFont="1" applyFill="1" applyBorder="1" applyAlignment="1" applyProtection="1">
      <alignment horizontal="left" vertical="center"/>
    </xf>
    <xf numFmtId="172" fontId="25" fillId="4" borderId="0" xfId="0" applyNumberFormat="1" applyFont="1" applyFill="1" applyBorder="1" applyAlignment="1" applyProtection="1">
      <alignment horizontal="center" vertical="center"/>
    </xf>
    <xf numFmtId="0" fontId="15" fillId="4" borderId="0" xfId="8" applyFont="1" applyFill="1" applyBorder="1" applyAlignment="1" applyProtection="1">
      <alignment vertical="center"/>
    </xf>
    <xf numFmtId="0" fontId="15" fillId="4" borderId="0" xfId="0" applyFont="1" applyFill="1" applyBorder="1" applyAlignment="1" applyProtection="1">
      <alignment vertical="center"/>
    </xf>
    <xf numFmtId="0" fontId="15" fillId="4" borderId="5" xfId="8" applyFont="1" applyFill="1" applyBorder="1" applyAlignment="1" applyProtection="1">
      <alignment vertical="center"/>
    </xf>
    <xf numFmtId="0" fontId="0" fillId="0" borderId="24" xfId="0" applyBorder="1" applyProtection="1"/>
    <xf numFmtId="0" fontId="25" fillId="4" borderId="0" xfId="0" applyFont="1" applyFill="1" applyBorder="1" applyAlignment="1" applyProtection="1">
      <alignment horizontal="right" vertical="center"/>
    </xf>
    <xf numFmtId="2" fontId="15" fillId="2" borderId="5" xfId="8" applyNumberFormat="1" applyFont="1" applyFill="1" applyBorder="1" applyAlignment="1" applyProtection="1">
      <alignment vertical="center"/>
      <protection locked="0"/>
    </xf>
    <xf numFmtId="0" fontId="0" fillId="0" borderId="0" xfId="0" applyAlignment="1" applyProtection="1">
      <alignment horizontal="center" vertical="top"/>
    </xf>
    <xf numFmtId="0" fontId="0" fillId="0" borderId="0" xfId="0" applyBorder="1" applyAlignment="1" applyProtection="1">
      <alignment vertical="top"/>
    </xf>
    <xf numFmtId="0" fontId="8" fillId="4" borderId="4" xfId="0" applyFont="1" applyFill="1" applyBorder="1" applyAlignment="1" applyProtection="1">
      <alignment vertical="center"/>
    </xf>
    <xf numFmtId="0" fontId="8" fillId="4" borderId="0" xfId="0" applyFont="1" applyFill="1" applyBorder="1" applyAlignment="1" applyProtection="1">
      <alignment vertical="center"/>
    </xf>
    <xf numFmtId="0" fontId="0" fillId="0" borderId="4" xfId="0" applyBorder="1"/>
    <xf numFmtId="171" fontId="8" fillId="2" borderId="27" xfId="0" applyNumberFormat="1" applyFont="1" applyFill="1" applyBorder="1" applyAlignment="1" applyProtection="1">
      <alignment vertical="center"/>
      <protection locked="0"/>
    </xf>
    <xf numFmtId="171" fontId="8" fillId="2" borderId="28" xfId="0" applyNumberFormat="1" applyFont="1" applyFill="1" applyBorder="1" applyAlignment="1" applyProtection="1">
      <alignment vertical="center"/>
      <protection locked="0"/>
    </xf>
    <xf numFmtId="171" fontId="8" fillId="2" borderId="25" xfId="0" applyNumberFormat="1" applyFont="1" applyFill="1" applyBorder="1" applyAlignment="1" applyProtection="1">
      <alignment vertical="center"/>
      <protection locked="0"/>
    </xf>
    <xf numFmtId="2" fontId="15" fillId="4" borderId="0" xfId="7" applyNumberFormat="1" applyFont="1" applyFill="1" applyBorder="1" applyAlignment="1" applyProtection="1">
      <alignment horizontal="left" vertical="center"/>
    </xf>
    <xf numFmtId="171" fontId="8" fillId="2" borderId="27" xfId="0" applyNumberFormat="1" applyFont="1" applyFill="1" applyBorder="1" applyAlignment="1" applyProtection="1">
      <alignment horizontal="right" vertical="center"/>
      <protection locked="0"/>
    </xf>
    <xf numFmtId="171" fontId="6" fillId="0" borderId="27" xfId="0" applyNumberFormat="1" applyFont="1" applyBorder="1" applyAlignment="1" applyProtection="1">
      <alignment horizontal="center" vertical="center"/>
    </xf>
    <xf numFmtId="171" fontId="6" fillId="0" borderId="29" xfId="0" applyNumberFormat="1" applyFont="1" applyBorder="1" applyAlignment="1" applyProtection="1">
      <alignment horizontal="center" vertical="center"/>
    </xf>
    <xf numFmtId="171" fontId="6" fillId="0" borderId="28" xfId="0" applyNumberFormat="1" applyFont="1" applyBorder="1" applyAlignment="1" applyProtection="1">
      <alignment horizontal="center" vertical="center"/>
    </xf>
    <xf numFmtId="171" fontId="6" fillId="0" borderId="30" xfId="0" applyNumberFormat="1" applyFont="1" applyBorder="1" applyAlignment="1" applyProtection="1">
      <alignment horizontal="center" vertical="center"/>
    </xf>
    <xf numFmtId="171" fontId="6" fillId="0" borderId="0" xfId="0" applyNumberFormat="1" applyFont="1" applyBorder="1" applyAlignment="1" applyProtection="1">
      <alignment horizontal="center" vertical="center"/>
    </xf>
    <xf numFmtId="178" fontId="6" fillId="0" borderId="25" xfId="0" applyNumberFormat="1" applyFont="1" applyBorder="1" applyAlignment="1" applyProtection="1">
      <alignment horizontal="center" vertical="center"/>
    </xf>
    <xf numFmtId="178" fontId="6" fillId="0" borderId="21" xfId="0" applyNumberFormat="1" applyFont="1" applyBorder="1" applyAlignment="1" applyProtection="1">
      <alignment horizontal="center" vertical="center"/>
    </xf>
    <xf numFmtId="178" fontId="6" fillId="0" borderId="26" xfId="0" applyNumberFormat="1" applyFont="1" applyBorder="1" applyAlignment="1" applyProtection="1">
      <alignment horizontal="center" vertical="center"/>
    </xf>
    <xf numFmtId="178" fontId="6" fillId="4" borderId="1" xfId="0" applyNumberFormat="1" applyFont="1" applyFill="1" applyBorder="1" applyAlignment="1" applyProtection="1">
      <alignment horizontal="center" vertical="center"/>
    </xf>
    <xf numFmtId="180" fontId="8" fillId="2" borderId="27" xfId="0" applyNumberFormat="1" applyFont="1" applyFill="1" applyBorder="1" applyAlignment="1" applyProtection="1">
      <alignment horizontal="right" vertical="center"/>
      <protection locked="0"/>
    </xf>
    <xf numFmtId="171" fontId="8" fillId="0" borderId="27" xfId="0" applyNumberFormat="1" applyFont="1" applyBorder="1" applyAlignment="1" applyProtection="1">
      <alignment horizontal="right" vertical="center"/>
    </xf>
    <xf numFmtId="171" fontId="8" fillId="0" borderId="22" xfId="0" applyNumberFormat="1" applyFont="1" applyBorder="1" applyAlignment="1" applyProtection="1">
      <alignment horizontal="right" vertical="center"/>
    </xf>
    <xf numFmtId="171" fontId="8" fillId="0" borderId="29" xfId="0" applyNumberFormat="1" applyFont="1" applyBorder="1" applyAlignment="1" applyProtection="1">
      <alignment horizontal="right" vertical="center"/>
    </xf>
    <xf numFmtId="0" fontId="0" fillId="0" borderId="0" xfId="0" applyAlignment="1" applyProtection="1"/>
    <xf numFmtId="0" fontId="15" fillId="0" borderId="0" xfId="0" applyFont="1" applyAlignment="1" applyProtection="1">
      <alignment horizontal="left"/>
    </xf>
    <xf numFmtId="171" fontId="8" fillId="2" borderId="31" xfId="0" applyNumberFormat="1" applyFont="1" applyFill="1" applyBorder="1" applyAlignment="1" applyProtection="1">
      <alignment horizontal="right" vertical="center"/>
      <protection locked="0"/>
    </xf>
    <xf numFmtId="178" fontId="6" fillId="0" borderId="21" xfId="0" applyNumberFormat="1" applyFont="1" applyBorder="1" applyAlignment="1" applyProtection="1">
      <alignment vertical="center"/>
    </xf>
    <xf numFmtId="178" fontId="6" fillId="0" borderId="32" xfId="0" applyNumberFormat="1" applyFont="1" applyBorder="1" applyAlignment="1" applyProtection="1">
      <alignment horizontal="right" vertical="center"/>
    </xf>
    <xf numFmtId="178" fontId="6" fillId="0" borderId="21" xfId="0" applyNumberFormat="1" applyFont="1" applyBorder="1" applyAlignment="1" applyProtection="1">
      <alignment horizontal="right" vertical="center"/>
    </xf>
    <xf numFmtId="169" fontId="15" fillId="0" borderId="0" xfId="0" applyNumberFormat="1" applyFont="1" applyBorder="1" applyAlignment="1" applyProtection="1">
      <alignment horizontal="right" vertical="center"/>
    </xf>
    <xf numFmtId="174" fontId="8" fillId="0" borderId="20" xfId="0" applyNumberFormat="1" applyFont="1" applyBorder="1" applyAlignment="1" applyProtection="1">
      <alignment horizontal="right" vertical="center"/>
    </xf>
    <xf numFmtId="174" fontId="8" fillId="0" borderId="23" xfId="0" applyNumberFormat="1" applyFont="1" applyBorder="1" applyAlignment="1" applyProtection="1">
      <alignment horizontal="right" vertical="center"/>
    </xf>
    <xf numFmtId="174" fontId="8" fillId="0" borderId="1" xfId="0" applyNumberFormat="1" applyFont="1" applyBorder="1" applyAlignment="1" applyProtection="1">
      <alignment horizontal="right" vertical="center"/>
    </xf>
    <xf numFmtId="174" fontId="8" fillId="0" borderId="33" xfId="0" applyNumberFormat="1" applyFont="1" applyBorder="1" applyAlignment="1" applyProtection="1">
      <alignment horizontal="right" vertical="center"/>
    </xf>
    <xf numFmtId="184" fontId="6" fillId="4" borderId="1" xfId="0" applyNumberFormat="1" applyFont="1" applyFill="1" applyBorder="1" applyAlignment="1" applyProtection="1">
      <alignment horizontal="right" vertical="center"/>
    </xf>
    <xf numFmtId="178" fontId="8" fillId="0" borderId="33" xfId="0" applyNumberFormat="1" applyFont="1" applyBorder="1" applyAlignment="1" applyProtection="1">
      <alignment vertical="center"/>
    </xf>
    <xf numFmtId="0" fontId="8" fillId="0" borderId="0" xfId="0" applyFont="1" applyBorder="1" applyAlignment="1" applyProtection="1">
      <alignment horizontal="left" vertical="center"/>
    </xf>
    <xf numFmtId="0" fontId="21" fillId="0" borderId="0" xfId="0" applyFont="1" applyBorder="1" applyAlignment="1">
      <alignment horizontal="left" vertical="center"/>
    </xf>
    <xf numFmtId="0" fontId="15" fillId="0" borderId="10" xfId="0" applyFont="1" applyBorder="1" applyAlignment="1" applyProtection="1">
      <alignment vertical="center"/>
    </xf>
    <xf numFmtId="0" fontId="48" fillId="0" borderId="0" xfId="0" applyFont="1"/>
    <xf numFmtId="178" fontId="25" fillId="0" borderId="0" xfId="0" applyNumberFormat="1" applyFont="1" applyBorder="1" applyAlignment="1" applyProtection="1">
      <alignment vertical="center"/>
    </xf>
    <xf numFmtId="14" fontId="15" fillId="0" borderId="0" xfId="0" applyNumberFormat="1" applyFont="1" applyAlignment="1">
      <alignment horizontal="left"/>
    </xf>
    <xf numFmtId="0" fontId="0" fillId="0" borderId="0" xfId="0" applyAlignment="1"/>
    <xf numFmtId="0" fontId="21" fillId="0" borderId="0" xfId="0" applyFont="1" applyBorder="1" applyAlignment="1">
      <alignment horizontal="left"/>
    </xf>
    <xf numFmtId="0" fontId="22" fillId="0" borderId="0" xfId="0" applyFont="1" applyAlignment="1"/>
    <xf numFmtId="0" fontId="0" fillId="0" borderId="12" xfId="0" applyBorder="1"/>
    <xf numFmtId="0" fontId="39" fillId="0" borderId="0" xfId="0" applyFont="1" applyAlignment="1">
      <alignment vertical="center"/>
    </xf>
    <xf numFmtId="0" fontId="39" fillId="0" borderId="2" xfId="0" applyFont="1" applyBorder="1" applyAlignment="1">
      <alignment vertical="center"/>
    </xf>
    <xf numFmtId="0" fontId="39" fillId="0" borderId="0" xfId="0" applyFont="1" applyBorder="1" applyAlignment="1">
      <alignment vertical="center"/>
    </xf>
    <xf numFmtId="0" fontId="39" fillId="0" borderId="12" xfId="0" applyFont="1" applyBorder="1" applyAlignment="1">
      <alignment vertical="center"/>
    </xf>
    <xf numFmtId="2" fontId="39" fillId="0" borderId="0" xfId="0" applyNumberFormat="1" applyFont="1" applyBorder="1" applyAlignment="1">
      <alignment vertical="center"/>
    </xf>
    <xf numFmtId="0" fontId="39" fillId="0" borderId="5" xfId="0" applyFont="1" applyBorder="1" applyAlignment="1">
      <alignment vertical="center"/>
    </xf>
    <xf numFmtId="2" fontId="54" fillId="0" borderId="5" xfId="0" applyNumberFormat="1" applyFont="1" applyBorder="1" applyAlignment="1">
      <alignment vertical="center"/>
    </xf>
    <xf numFmtId="2" fontId="54" fillId="0" borderId="6" xfId="0" applyNumberFormat="1" applyFont="1" applyBorder="1" applyAlignment="1">
      <alignment vertical="center"/>
    </xf>
    <xf numFmtId="0" fontId="0" fillId="0" borderId="6" xfId="0" applyBorder="1" applyAlignment="1">
      <alignment vertical="center"/>
    </xf>
    <xf numFmtId="0" fontId="39" fillId="5" borderId="5" xfId="0" applyFont="1" applyFill="1" applyBorder="1" applyAlignment="1">
      <alignment vertical="center"/>
    </xf>
    <xf numFmtId="0" fontId="42" fillId="0" borderId="5" xfId="0" applyFont="1" applyBorder="1" applyAlignment="1">
      <alignment vertical="center"/>
    </xf>
    <xf numFmtId="2" fontId="56" fillId="0" borderId="5" xfId="0" applyNumberFormat="1" applyFont="1" applyBorder="1" applyAlignment="1">
      <alignment vertical="center"/>
    </xf>
    <xf numFmtId="0" fontId="54" fillId="0" borderId="5" xfId="0" applyFont="1" applyBorder="1" applyAlignment="1">
      <alignment vertical="center"/>
    </xf>
    <xf numFmtId="0" fontId="56" fillId="0" borderId="5" xfId="0" applyFont="1" applyBorder="1" applyAlignment="1">
      <alignment vertical="center"/>
    </xf>
    <xf numFmtId="0" fontId="39" fillId="0" borderId="10" xfId="0" applyFont="1" applyBorder="1" applyAlignment="1">
      <alignment vertical="center"/>
    </xf>
    <xf numFmtId="0" fontId="39" fillId="0" borderId="3" xfId="0" applyFont="1" applyBorder="1" applyAlignment="1">
      <alignment vertical="center"/>
    </xf>
    <xf numFmtId="0" fontId="39" fillId="0" borderId="13" xfId="0" applyFont="1" applyBorder="1" applyAlignment="1">
      <alignment vertical="center"/>
    </xf>
    <xf numFmtId="0" fontId="39" fillId="5" borderId="3" xfId="0" applyFont="1" applyFill="1" applyBorder="1" applyAlignment="1">
      <alignment vertical="center"/>
    </xf>
    <xf numFmtId="0" fontId="39" fillId="5" borderId="6" xfId="0" applyFont="1" applyFill="1" applyBorder="1" applyAlignment="1">
      <alignment vertical="center"/>
    </xf>
    <xf numFmtId="0" fontId="39" fillId="0" borderId="6" xfId="0" applyFont="1" applyBorder="1" applyAlignment="1">
      <alignment vertical="center"/>
    </xf>
    <xf numFmtId="0" fontId="27" fillId="0" borderId="0" xfId="0" applyFont="1" applyBorder="1" applyAlignment="1">
      <alignment vertical="center"/>
    </xf>
    <xf numFmtId="2" fontId="27" fillId="0" borderId="0" xfId="0" applyNumberFormat="1" applyFont="1" applyBorder="1" applyAlignment="1">
      <alignment vertical="center"/>
    </xf>
    <xf numFmtId="0" fontId="0" fillId="0" borderId="3" xfId="0" applyBorder="1" applyAlignment="1">
      <alignment vertical="center"/>
    </xf>
    <xf numFmtId="0" fontId="54" fillId="5" borderId="4" xfId="0" applyFont="1" applyFill="1" applyBorder="1" applyAlignment="1">
      <alignment vertical="center"/>
    </xf>
    <xf numFmtId="0" fontId="39" fillId="5" borderId="4" xfId="0" applyFont="1" applyFill="1" applyBorder="1" applyAlignment="1">
      <alignment vertical="center"/>
    </xf>
    <xf numFmtId="3" fontId="54" fillId="5" borderId="4" xfId="0" applyNumberFormat="1" applyFont="1" applyFill="1" applyBorder="1" applyAlignment="1">
      <alignment vertical="center"/>
    </xf>
    <xf numFmtId="0" fontId="46" fillId="5" borderId="5" xfId="0" applyFont="1" applyFill="1" applyBorder="1" applyAlignment="1">
      <alignment vertical="center"/>
    </xf>
    <xf numFmtId="4" fontId="46" fillId="5" borderId="5" xfId="0" applyNumberFormat="1" applyFont="1" applyFill="1" applyBorder="1" applyAlignment="1">
      <alignment vertical="center"/>
    </xf>
    <xf numFmtId="0" fontId="39" fillId="5" borderId="10" xfId="0" applyFont="1" applyFill="1" applyBorder="1" applyAlignment="1">
      <alignment vertical="center"/>
    </xf>
    <xf numFmtId="0" fontId="39" fillId="5" borderId="13" xfId="0" applyFont="1" applyFill="1" applyBorder="1" applyAlignment="1">
      <alignment vertical="center"/>
    </xf>
    <xf numFmtId="0" fontId="39" fillId="0" borderId="4" xfId="0" applyFont="1" applyBorder="1" applyAlignment="1">
      <alignment vertical="center"/>
    </xf>
    <xf numFmtId="3" fontId="39" fillId="0" borderId="0" xfId="0" applyNumberFormat="1" applyFont="1" applyBorder="1" applyAlignment="1">
      <alignment vertical="center"/>
    </xf>
    <xf numFmtId="0" fontId="54" fillId="0" borderId="0" xfId="0" applyFont="1" applyBorder="1" applyAlignment="1">
      <alignment vertical="center"/>
    </xf>
    <xf numFmtId="3" fontId="54" fillId="0" borderId="0" xfId="0" applyNumberFormat="1" applyFont="1" applyBorder="1" applyAlignment="1">
      <alignment vertical="center"/>
    </xf>
    <xf numFmtId="3" fontId="54" fillId="0" borderId="5" xfId="0" applyNumberFormat="1" applyFont="1" applyBorder="1" applyAlignment="1">
      <alignment vertical="center"/>
    </xf>
    <xf numFmtId="0" fontId="0" fillId="0" borderId="13" xfId="0" applyBorder="1"/>
    <xf numFmtId="0" fontId="54" fillId="0" borderId="4" xfId="0" applyFont="1" applyBorder="1" applyAlignment="1">
      <alignment vertical="center"/>
    </xf>
    <xf numFmtId="3" fontId="54" fillId="0" borderId="4" xfId="0" applyNumberFormat="1" applyFont="1" applyBorder="1" applyAlignment="1">
      <alignment vertical="center"/>
    </xf>
    <xf numFmtId="3" fontId="56" fillId="0" borderId="5" xfId="0" applyNumberFormat="1" applyFont="1" applyBorder="1" applyAlignment="1">
      <alignment vertical="center"/>
    </xf>
    <xf numFmtId="0" fontId="39" fillId="0" borderId="24" xfId="0" applyFont="1" applyBorder="1" applyAlignment="1">
      <alignment vertical="center"/>
    </xf>
    <xf numFmtId="0" fontId="54" fillId="0" borderId="11" xfId="0" applyFont="1" applyBorder="1" applyAlignment="1">
      <alignment vertical="center"/>
    </xf>
    <xf numFmtId="0" fontId="39" fillId="0" borderId="11" xfId="0" applyFont="1" applyBorder="1" applyAlignment="1">
      <alignment vertical="center"/>
    </xf>
    <xf numFmtId="3" fontId="54" fillId="0" borderId="11" xfId="0" applyNumberFormat="1" applyFont="1" applyBorder="1" applyAlignment="1">
      <alignment vertical="center"/>
    </xf>
    <xf numFmtId="0" fontId="39" fillId="0" borderId="34" xfId="0" applyFont="1" applyBorder="1" applyAlignment="1">
      <alignment vertical="center"/>
    </xf>
    <xf numFmtId="0" fontId="0" fillId="0" borderId="13" xfId="0" applyBorder="1" applyAlignment="1">
      <alignment vertical="center"/>
    </xf>
    <xf numFmtId="0" fontId="39" fillId="0" borderId="0" xfId="0" applyFont="1" applyBorder="1" applyAlignment="1">
      <alignment horizontal="right" vertical="center"/>
    </xf>
    <xf numFmtId="0" fontId="27" fillId="0" borderId="5" xfId="0" applyFont="1" applyBorder="1" applyAlignment="1">
      <alignment vertical="center"/>
    </xf>
    <xf numFmtId="0" fontId="0" fillId="0" borderId="10" xfId="0" applyBorder="1" applyAlignment="1">
      <alignment vertical="center"/>
    </xf>
    <xf numFmtId="0" fontId="0" fillId="0" borderId="12" xfId="0" applyBorder="1" applyAlignment="1">
      <alignment vertical="center"/>
    </xf>
    <xf numFmtId="0" fontId="39" fillId="0" borderId="0" xfId="0" applyFont="1" applyBorder="1" applyAlignment="1">
      <alignment horizontal="center" vertical="center"/>
    </xf>
    <xf numFmtId="0" fontId="27" fillId="0" borderId="4" xfId="0" applyFont="1" applyBorder="1" applyAlignment="1"/>
    <xf numFmtId="0" fontId="20" fillId="0" borderId="0" xfId="0" applyFont="1" applyAlignment="1">
      <alignment horizontal="right" vertical="center"/>
    </xf>
    <xf numFmtId="0" fontId="0" fillId="0" borderId="5" xfId="0" applyBorder="1" applyAlignment="1">
      <alignment horizontal="center" vertical="center"/>
    </xf>
    <xf numFmtId="3" fontId="39" fillId="0" borderId="4" xfId="0" applyNumberFormat="1" applyFont="1" applyBorder="1" applyAlignment="1">
      <alignment vertical="center"/>
    </xf>
    <xf numFmtId="0" fontId="39" fillId="0" borderId="2" xfId="0" applyFont="1" applyBorder="1" applyAlignment="1">
      <alignment vertical="top"/>
    </xf>
    <xf numFmtId="0" fontId="40" fillId="0" borderId="0" xfId="0" applyFont="1" applyBorder="1" applyAlignment="1">
      <alignment vertical="top"/>
    </xf>
    <xf numFmtId="0" fontId="39" fillId="0" borderId="0" xfId="0" applyFont="1" applyBorder="1" applyAlignment="1">
      <alignment vertical="top"/>
    </xf>
    <xf numFmtId="0" fontId="39" fillId="0" borderId="12" xfId="0" applyFont="1" applyBorder="1" applyAlignment="1">
      <alignment vertical="top"/>
    </xf>
    <xf numFmtId="0" fontId="39" fillId="0" borderId="0" xfId="0" applyFont="1" applyAlignment="1">
      <alignment vertical="top"/>
    </xf>
    <xf numFmtId="181" fontId="8" fillId="2" borderId="27" xfId="0" applyNumberFormat="1" applyFont="1" applyFill="1" applyBorder="1" applyAlignment="1" applyProtection="1">
      <alignment horizontal="right" vertical="center"/>
      <protection locked="0"/>
    </xf>
    <xf numFmtId="0" fontId="42" fillId="0" borderId="3" xfId="0" applyFont="1" applyBorder="1" applyAlignment="1">
      <alignment vertical="center"/>
    </xf>
    <xf numFmtId="0" fontId="42" fillId="0" borderId="6" xfId="0" applyFont="1" applyBorder="1" applyAlignment="1">
      <alignment vertical="center"/>
    </xf>
    <xf numFmtId="178" fontId="6" fillId="0" borderId="1" xfId="0" applyNumberFormat="1" applyFont="1" applyBorder="1" applyAlignment="1" applyProtection="1">
      <alignment horizontal="center" vertical="center"/>
    </xf>
    <xf numFmtId="49" fontId="8" fillId="4" borderId="23"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center" vertical="center"/>
    </xf>
    <xf numFmtId="49" fontId="8" fillId="4" borderId="1" xfId="0" applyNumberFormat="1" applyFont="1" applyFill="1" applyBorder="1" applyAlignment="1" applyProtection="1">
      <alignment horizontal="center" vertical="center"/>
    </xf>
    <xf numFmtId="171" fontId="19" fillId="0" borderId="1" xfId="0" applyNumberFormat="1" applyFont="1" applyBorder="1" applyAlignment="1" applyProtection="1">
      <alignment horizontal="right" vertical="center"/>
    </xf>
    <xf numFmtId="0" fontId="0" fillId="0" borderId="14" xfId="0" applyBorder="1" applyAlignment="1" applyProtection="1">
      <alignment vertical="center"/>
    </xf>
    <xf numFmtId="0" fontId="0" fillId="0" borderId="14" xfId="0" applyBorder="1"/>
    <xf numFmtId="0" fontId="0" fillId="0" borderId="35" xfId="0" applyBorder="1" applyAlignment="1" applyProtection="1">
      <alignment vertical="center"/>
    </xf>
    <xf numFmtId="0" fontId="0" fillId="0" borderId="35" xfId="0" applyBorder="1"/>
    <xf numFmtId="0" fontId="8" fillId="0" borderId="35" xfId="0" applyFont="1" applyBorder="1" applyAlignment="1" applyProtection="1">
      <alignment vertical="center"/>
    </xf>
    <xf numFmtId="0" fontId="13" fillId="0" borderId="35" xfId="0" applyFont="1" applyBorder="1" applyAlignment="1" applyProtection="1">
      <alignment vertical="center"/>
    </xf>
    <xf numFmtId="0" fontId="8" fillId="0" borderId="14" xfId="0" applyFont="1" applyBorder="1" applyAlignment="1" applyProtection="1">
      <alignment vertical="center"/>
    </xf>
    <xf numFmtId="0" fontId="0" fillId="0" borderId="16" xfId="0" applyBorder="1"/>
    <xf numFmtId="0" fontId="0" fillId="0" borderId="36" xfId="0" applyBorder="1"/>
    <xf numFmtId="0" fontId="0" fillId="4" borderId="0" xfId="0" applyFill="1"/>
    <xf numFmtId="0" fontId="4" fillId="4" borderId="0" xfId="0" applyFont="1" applyFill="1" applyAlignment="1" applyProtection="1">
      <alignment vertical="top"/>
    </xf>
    <xf numFmtId="0" fontId="13" fillId="0" borderId="20" xfId="0" applyFont="1" applyBorder="1" applyAlignment="1" applyProtection="1">
      <alignment horizontal="centerContinuous" vertical="center" wrapText="1"/>
    </xf>
    <xf numFmtId="174" fontId="13" fillId="0" borderId="1" xfId="0" applyNumberFormat="1" applyFont="1" applyBorder="1" applyAlignment="1" applyProtection="1">
      <alignment horizontal="right" vertical="center"/>
    </xf>
    <xf numFmtId="167" fontId="8" fillId="2" borderId="37" xfId="7" applyNumberFormat="1" applyFont="1" applyFill="1" applyBorder="1" applyAlignment="1" applyProtection="1">
      <alignment horizontal="center" vertical="center"/>
      <protection locked="0"/>
    </xf>
    <xf numFmtId="167" fontId="8" fillId="2" borderId="38" xfId="7" applyNumberFormat="1" applyFont="1" applyFill="1" applyBorder="1" applyAlignment="1" applyProtection="1">
      <alignment horizontal="center" vertical="center"/>
      <protection locked="0"/>
    </xf>
    <xf numFmtId="0" fontId="12" fillId="0" borderId="33" xfId="0" applyFont="1" applyBorder="1" applyAlignment="1" applyProtection="1">
      <alignment horizontal="center" vertical="center"/>
    </xf>
    <xf numFmtId="184" fontId="12" fillId="4" borderId="1" xfId="0" applyNumberFormat="1" applyFont="1" applyFill="1" applyBorder="1" applyAlignment="1" applyProtection="1">
      <alignment horizontal="center" vertical="center"/>
    </xf>
    <xf numFmtId="0" fontId="0" fillId="0" borderId="24" xfId="0" applyBorder="1"/>
    <xf numFmtId="171" fontId="6" fillId="0" borderId="16" xfId="0" applyNumberFormat="1" applyFont="1" applyBorder="1" applyAlignment="1" applyProtection="1">
      <alignment horizontal="center" vertical="center"/>
    </xf>
    <xf numFmtId="179" fontId="8" fillId="4" borderId="2" xfId="0" applyNumberFormat="1" applyFont="1" applyFill="1" applyBorder="1" applyAlignment="1" applyProtection="1">
      <alignment horizontal="center" vertical="center"/>
    </xf>
    <xf numFmtId="171" fontId="6" fillId="4" borderId="3" xfId="0" applyNumberFormat="1" applyFont="1" applyFill="1" applyBorder="1" applyAlignment="1" applyProtection="1">
      <alignment horizontal="center" vertical="center"/>
    </xf>
    <xf numFmtId="171" fontId="6" fillId="4" borderId="39" xfId="0" applyNumberFormat="1" applyFont="1" applyFill="1" applyBorder="1" applyAlignment="1" applyProtection="1">
      <alignment horizontal="center" vertical="center"/>
    </xf>
    <xf numFmtId="171" fontId="8" fillId="0" borderId="39" xfId="0" applyNumberFormat="1" applyFont="1" applyBorder="1" applyAlignment="1" applyProtection="1">
      <alignment horizontal="right" vertical="center"/>
    </xf>
    <xf numFmtId="171" fontId="8" fillId="0" borderId="40" xfId="0" applyNumberFormat="1" applyFont="1" applyBorder="1" applyAlignment="1" applyProtection="1">
      <alignment horizontal="right" vertical="center"/>
    </xf>
    <xf numFmtId="180" fontId="8" fillId="4" borderId="39" xfId="0" applyNumberFormat="1" applyFont="1" applyFill="1" applyBorder="1" applyAlignment="1" applyProtection="1">
      <alignment horizontal="right" vertical="center"/>
    </xf>
    <xf numFmtId="181" fontId="8" fillId="4" borderId="39" xfId="0" applyNumberFormat="1" applyFont="1" applyFill="1" applyBorder="1" applyAlignment="1" applyProtection="1">
      <alignment horizontal="right" vertical="center"/>
    </xf>
    <xf numFmtId="178" fontId="8" fillId="4" borderId="2" xfId="0" applyNumberFormat="1" applyFont="1" applyFill="1" applyBorder="1" applyAlignment="1" applyProtection="1">
      <alignment horizontal="center" vertical="center"/>
    </xf>
    <xf numFmtId="169" fontId="15" fillId="0" borderId="5" xfId="0" applyNumberFormat="1" applyFont="1" applyFill="1" applyBorder="1" applyAlignment="1" applyProtection="1">
      <alignment horizontal="right" vertical="center"/>
    </xf>
    <xf numFmtId="170" fontId="15" fillId="0" borderId="39" xfId="0" applyNumberFormat="1" applyFont="1" applyBorder="1" applyAlignment="1" applyProtection="1">
      <alignment horizontal="right" vertical="center"/>
    </xf>
    <xf numFmtId="170" fontId="15" fillId="0" borderId="0" xfId="0" applyNumberFormat="1" applyFont="1" applyFill="1" applyBorder="1" applyAlignment="1" applyProtection="1">
      <alignment vertical="center"/>
    </xf>
    <xf numFmtId="168" fontId="15" fillId="4" borderId="12" xfId="7" applyNumberFormat="1" applyFont="1" applyFill="1" applyBorder="1" applyAlignment="1" applyProtection="1">
      <alignment horizontal="right" vertical="center"/>
    </xf>
    <xf numFmtId="178" fontId="8" fillId="0" borderId="39" xfId="0" applyNumberFormat="1" applyFont="1" applyBorder="1" applyAlignment="1" applyProtection="1">
      <alignment horizontal="right" vertical="center"/>
    </xf>
    <xf numFmtId="178" fontId="8" fillId="2" borderId="27" xfId="0" applyNumberFormat="1" applyFont="1" applyFill="1" applyBorder="1" applyAlignment="1" applyProtection="1">
      <alignment vertical="center"/>
      <protection locked="0"/>
    </xf>
    <xf numFmtId="170" fontId="15" fillId="4" borderId="0" xfId="7" applyNumberFormat="1" applyFont="1" applyFill="1" applyBorder="1" applyAlignment="1" applyProtection="1">
      <alignment horizontal="right" vertical="center"/>
    </xf>
    <xf numFmtId="2" fontId="15" fillId="0" borderId="2" xfId="0" applyNumberFormat="1" applyFont="1" applyBorder="1" applyAlignment="1">
      <alignment vertical="center"/>
    </xf>
    <xf numFmtId="169" fontId="15" fillId="0" borderId="0" xfId="0" applyNumberFormat="1" applyFont="1" applyFill="1" applyBorder="1" applyAlignment="1" applyProtection="1">
      <alignment vertical="center"/>
    </xf>
    <xf numFmtId="181" fontId="15" fillId="2" borderId="2" xfId="0" applyNumberFormat="1" applyFont="1" applyFill="1" applyBorder="1" applyAlignment="1" applyProtection="1">
      <alignment horizontal="right" vertical="center"/>
      <protection locked="0"/>
    </xf>
    <xf numFmtId="182" fontId="15" fillId="4" borderId="36" xfId="0" applyNumberFormat="1" applyFont="1" applyFill="1" applyBorder="1" applyAlignment="1" applyProtection="1">
      <alignment horizontal="right" vertical="center"/>
    </xf>
    <xf numFmtId="1" fontId="15" fillId="2" borderId="2" xfId="0" applyNumberFormat="1" applyFont="1" applyFill="1" applyBorder="1" applyAlignment="1" applyProtection="1">
      <alignment horizontal="right"/>
      <protection locked="0"/>
    </xf>
    <xf numFmtId="1" fontId="15" fillId="2" borderId="2" xfId="0" applyNumberFormat="1" applyFont="1" applyFill="1" applyBorder="1" applyAlignment="1" applyProtection="1">
      <alignment horizontal="right" vertical="center"/>
      <protection locked="0"/>
    </xf>
    <xf numFmtId="170" fontId="15" fillId="4" borderId="0" xfId="0" applyNumberFormat="1" applyFont="1" applyFill="1" applyBorder="1" applyAlignment="1" applyProtection="1">
      <alignment horizontal="right" vertical="center"/>
    </xf>
    <xf numFmtId="179" fontId="8" fillId="4" borderId="33" xfId="0" applyNumberFormat="1" applyFont="1" applyFill="1" applyBorder="1" applyAlignment="1" applyProtection="1">
      <alignment horizontal="center" vertical="center"/>
    </xf>
    <xf numFmtId="179" fontId="8" fillId="4" borderId="1" xfId="0" applyNumberFormat="1" applyFont="1" applyFill="1" applyBorder="1" applyAlignment="1" applyProtection="1">
      <alignment horizontal="center" vertical="center"/>
    </xf>
    <xf numFmtId="170" fontId="25" fillId="0" borderId="0" xfId="0" applyNumberFormat="1" applyFont="1" applyAlignment="1" applyProtection="1">
      <alignment vertical="center"/>
    </xf>
    <xf numFmtId="170" fontId="34" fillId="0" borderId="0" xfId="0" applyNumberFormat="1" applyFont="1" applyAlignment="1" applyProtection="1">
      <alignment vertical="center"/>
    </xf>
    <xf numFmtId="0" fontId="25" fillId="0" borderId="0" xfId="0" applyFont="1"/>
    <xf numFmtId="167" fontId="25" fillId="4" borderId="0" xfId="0" applyNumberFormat="1" applyFont="1" applyFill="1" applyBorder="1" applyAlignment="1" applyProtection="1">
      <alignment horizontal="center" vertical="center"/>
    </xf>
    <xf numFmtId="0" fontId="17" fillId="0" borderId="3" xfId="0" applyFont="1" applyBorder="1" applyAlignment="1" applyProtection="1">
      <alignment vertical="center"/>
    </xf>
    <xf numFmtId="0" fontId="0" fillId="0" borderId="38" xfId="0" applyBorder="1" applyAlignment="1">
      <alignment horizontal="center"/>
    </xf>
    <xf numFmtId="0" fontId="0" fillId="0" borderId="17" xfId="0" applyBorder="1"/>
    <xf numFmtId="0" fontId="8" fillId="0" borderId="5" xfId="0" applyFont="1" applyBorder="1" applyAlignment="1" applyProtection="1">
      <alignment horizontal="left" vertical="center"/>
    </xf>
    <xf numFmtId="167" fontId="8" fillId="2" borderId="41" xfId="7" applyNumberFormat="1" applyFont="1" applyFill="1" applyBorder="1" applyAlignment="1" applyProtection="1">
      <alignment horizontal="center" vertical="center"/>
      <protection locked="0"/>
    </xf>
    <xf numFmtId="0" fontId="0" fillId="0" borderId="0" xfId="0" applyBorder="1" applyAlignment="1" applyProtection="1">
      <alignment vertical="top" wrapText="1"/>
    </xf>
    <xf numFmtId="0" fontId="8" fillId="0" borderId="13" xfId="0" applyFont="1" applyBorder="1" applyAlignment="1" applyProtection="1">
      <alignment horizontal="centerContinuous" vertical="center"/>
    </xf>
    <xf numFmtId="0" fontId="17" fillId="0" borderId="5" xfId="0" applyFont="1" applyBorder="1" applyAlignment="1" applyProtection="1">
      <alignment vertical="center"/>
    </xf>
    <xf numFmtId="0" fontId="25" fillId="0" borderId="6" xfId="0" applyFont="1" applyBorder="1" applyAlignment="1" applyProtection="1">
      <alignment horizontal="centerContinuous" vertical="center"/>
    </xf>
    <xf numFmtId="0" fontId="1" fillId="4" borderId="12" xfId="0" applyFont="1" applyFill="1" applyBorder="1" applyAlignment="1" applyProtection="1">
      <alignment horizontal="center" vertical="center"/>
    </xf>
    <xf numFmtId="0" fontId="1" fillId="4" borderId="12" xfId="0" applyFont="1" applyFill="1" applyBorder="1" applyAlignment="1" applyProtection="1">
      <alignment horizontal="right" vertical="center"/>
    </xf>
    <xf numFmtId="170" fontId="15" fillId="4" borderId="12" xfId="7" applyNumberFormat="1" applyFont="1" applyFill="1" applyBorder="1" applyAlignment="1" applyProtection="1">
      <alignment horizontal="right" vertical="center"/>
    </xf>
    <xf numFmtId="170" fontId="15" fillId="0" borderId="5" xfId="7" applyNumberFormat="1" applyFont="1" applyBorder="1" applyAlignment="1" applyProtection="1">
      <alignment vertical="center"/>
    </xf>
    <xf numFmtId="177" fontId="15" fillId="0" borderId="10" xfId="0" applyNumberFormat="1" applyFont="1" applyBorder="1" applyAlignment="1" applyProtection="1">
      <alignment horizontal="right" vertical="center"/>
    </xf>
    <xf numFmtId="3" fontId="18" fillId="4" borderId="42" xfId="7" applyNumberFormat="1" applyFont="1" applyFill="1" applyBorder="1" applyAlignment="1" applyProtection="1">
      <alignment horizontal="right" vertical="center"/>
    </xf>
    <xf numFmtId="3" fontId="18" fillId="4" borderId="42" xfId="7" applyNumberFormat="1" applyFont="1" applyFill="1" applyBorder="1" applyAlignment="1" applyProtection="1">
      <alignment horizontal="center" vertical="center"/>
    </xf>
    <xf numFmtId="3" fontId="19" fillId="4" borderId="42" xfId="7" applyNumberFormat="1" applyFont="1" applyFill="1" applyBorder="1" applyAlignment="1" applyProtection="1">
      <alignment horizontal="center" vertical="center"/>
    </xf>
    <xf numFmtId="3" fontId="15" fillId="2" borderId="3" xfId="7" applyNumberFormat="1" applyFont="1" applyFill="1" applyBorder="1" applyAlignment="1" applyProtection="1">
      <alignment horizontal="centerContinuous" vertical="center"/>
      <protection locked="0"/>
    </xf>
    <xf numFmtId="181" fontId="15" fillId="4" borderId="2" xfId="0" applyNumberFormat="1" applyFont="1" applyFill="1" applyBorder="1" applyAlignment="1" applyProtection="1">
      <alignment horizontal="right" vertical="center"/>
    </xf>
    <xf numFmtId="0" fontId="0" fillId="0" borderId="0" xfId="0" applyBorder="1" applyAlignment="1">
      <alignment horizontal="right" vertical="center"/>
    </xf>
    <xf numFmtId="0" fontId="8" fillId="0" borderId="0" xfId="8" applyFont="1" applyBorder="1" applyAlignment="1" applyProtection="1"/>
    <xf numFmtId="0" fontId="0" fillId="0" borderId="10" xfId="0" applyBorder="1"/>
    <xf numFmtId="0" fontId="5" fillId="0" borderId="4" xfId="8" applyFont="1" applyBorder="1" applyAlignment="1" applyProtection="1">
      <alignment vertical="center"/>
    </xf>
    <xf numFmtId="0" fontId="0" fillId="0" borderId="23" xfId="0" applyBorder="1"/>
    <xf numFmtId="166" fontId="2" fillId="0" borderId="5" xfId="8" applyNumberFormat="1" applyFont="1" applyBorder="1" applyAlignment="1" applyProtection="1">
      <alignment vertical="center"/>
    </xf>
    <xf numFmtId="0" fontId="10" fillId="0" borderId="5" xfId="8" applyFont="1" applyBorder="1" applyAlignment="1" applyProtection="1">
      <alignment vertical="center"/>
    </xf>
    <xf numFmtId="0" fontId="12" fillId="0" borderId="5" xfId="8" applyFont="1" applyBorder="1" applyAlignment="1" applyProtection="1">
      <alignment vertical="center"/>
    </xf>
    <xf numFmtId="0" fontId="0" fillId="0" borderId="12" xfId="0" applyBorder="1" applyAlignment="1" applyProtection="1">
      <alignment horizontal="right" vertical="center"/>
    </xf>
    <xf numFmtId="0" fontId="12" fillId="2" borderId="13" xfId="0" applyFont="1" applyFill="1" applyBorder="1" applyAlignment="1" applyProtection="1">
      <alignment horizontal="center" vertical="center"/>
      <protection locked="0"/>
    </xf>
    <xf numFmtId="0" fontId="21" fillId="0" borderId="0" xfId="0" applyFont="1" applyBorder="1" applyAlignment="1" applyProtection="1">
      <alignment horizontal="left" vertical="center"/>
    </xf>
    <xf numFmtId="167" fontId="8" fillId="4" borderId="0" xfId="7" applyNumberFormat="1" applyFont="1" applyFill="1" applyBorder="1" applyAlignment="1" applyProtection="1">
      <alignment horizontal="center" vertical="center"/>
    </xf>
    <xf numFmtId="0" fontId="8" fillId="2" borderId="12" xfId="0" applyFont="1" applyFill="1" applyBorder="1" applyAlignment="1" applyProtection="1">
      <alignment horizontal="center" vertical="center"/>
      <protection locked="0"/>
    </xf>
    <xf numFmtId="0" fontId="8" fillId="2" borderId="6" xfId="0" applyFont="1" applyFill="1" applyBorder="1" applyAlignment="1" applyProtection="1">
      <alignment horizontal="center" vertical="center"/>
      <protection locked="0"/>
    </xf>
    <xf numFmtId="0" fontId="13" fillId="0" borderId="34" xfId="0" applyFont="1" applyBorder="1" applyAlignment="1" applyProtection="1">
      <alignment horizontal="center" vertical="center" wrapText="1"/>
    </xf>
    <xf numFmtId="0" fontId="8" fillId="0" borderId="23" xfId="0" applyFont="1" applyBorder="1" applyAlignment="1" applyProtection="1">
      <alignment horizontal="center" vertical="center"/>
    </xf>
    <xf numFmtId="0" fontId="15" fillId="0" borderId="2" xfId="0" applyFont="1" applyBorder="1" applyAlignment="1" applyProtection="1"/>
    <xf numFmtId="0" fontId="8" fillId="4" borderId="5" xfId="0" applyFont="1" applyFill="1" applyBorder="1" applyAlignment="1" applyProtection="1">
      <alignment vertical="top"/>
    </xf>
    <xf numFmtId="178" fontId="8" fillId="4" borderId="28" xfId="0" applyNumberFormat="1" applyFont="1" applyFill="1" applyBorder="1" applyAlignment="1" applyProtection="1">
      <alignment vertical="top"/>
    </xf>
    <xf numFmtId="0" fontId="8" fillId="4" borderId="0" xfId="0" applyFont="1" applyFill="1" applyBorder="1" applyAlignment="1" applyProtection="1">
      <alignment vertical="top"/>
    </xf>
    <xf numFmtId="0" fontId="8" fillId="4" borderId="0" xfId="0" applyFont="1" applyFill="1" applyBorder="1" applyAlignment="1" applyProtection="1">
      <alignment horizontal="right" vertical="top"/>
    </xf>
    <xf numFmtId="0" fontId="8" fillId="4" borderId="5" xfId="0" applyFont="1" applyFill="1" applyBorder="1" applyAlignment="1" applyProtection="1">
      <alignment horizontal="right" vertical="top"/>
    </xf>
    <xf numFmtId="171" fontId="8" fillId="4" borderId="27" xfId="0" applyNumberFormat="1" applyFont="1" applyFill="1" applyBorder="1" applyAlignment="1" applyProtection="1">
      <alignment horizontal="right" vertical="center"/>
    </xf>
    <xf numFmtId="171" fontId="8" fillId="4" borderId="27" xfId="0" applyNumberFormat="1" applyFont="1" applyFill="1" applyBorder="1" applyAlignment="1" applyProtection="1">
      <alignment vertical="center"/>
    </xf>
    <xf numFmtId="171" fontId="8" fillId="4" borderId="27" xfId="0" applyNumberFormat="1" applyFont="1" applyFill="1" applyBorder="1" applyAlignment="1" applyProtection="1">
      <alignment horizontal="center" vertical="center"/>
    </xf>
    <xf numFmtId="171" fontId="8" fillId="4" borderId="22" xfId="0" applyNumberFormat="1" applyFont="1" applyFill="1" applyBorder="1" applyAlignment="1" applyProtection="1">
      <alignment horizontal="center" vertical="center"/>
    </xf>
    <xf numFmtId="180" fontId="8" fillId="4" borderId="27" xfId="0" applyNumberFormat="1" applyFont="1" applyFill="1" applyBorder="1" applyAlignment="1" applyProtection="1">
      <alignment horizontal="right" vertical="center"/>
    </xf>
    <xf numFmtId="181" fontId="8" fillId="4" borderId="27" xfId="0" applyNumberFormat="1" applyFont="1" applyFill="1" applyBorder="1" applyAlignment="1" applyProtection="1">
      <alignment horizontal="right" vertical="center"/>
    </xf>
    <xf numFmtId="0" fontId="6" fillId="0" borderId="10" xfId="0" applyFont="1" applyBorder="1" applyAlignment="1" applyProtection="1">
      <alignment horizontal="centerContinuous" vertical="center"/>
    </xf>
    <xf numFmtId="0" fontId="1" fillId="0" borderId="0" xfId="0" applyFont="1" applyBorder="1" applyAlignment="1">
      <alignment vertical="center"/>
    </xf>
    <xf numFmtId="0" fontId="0" fillId="0" borderId="0" xfId="0" applyBorder="1" applyAlignment="1">
      <alignment horizontal="left" vertical="center"/>
    </xf>
    <xf numFmtId="0" fontId="1" fillId="0" borderId="0" xfId="0" applyFont="1" applyAlignment="1">
      <alignment vertical="center"/>
    </xf>
    <xf numFmtId="0" fontId="1" fillId="0" borderId="0" xfId="0" applyFont="1" applyBorder="1" applyAlignment="1">
      <alignment horizontal="left" vertical="center"/>
    </xf>
    <xf numFmtId="49" fontId="0" fillId="0" borderId="0" xfId="0" applyNumberFormat="1" applyBorder="1" applyAlignment="1">
      <alignment horizontal="right" vertical="center"/>
    </xf>
    <xf numFmtId="0" fontId="8" fillId="0" borderId="2" xfId="0" applyFont="1" applyBorder="1" applyAlignment="1" applyProtection="1">
      <alignment vertical="center"/>
    </xf>
    <xf numFmtId="0" fontId="8" fillId="0" borderId="3" xfId="0" applyFont="1" applyBorder="1" applyAlignment="1" applyProtection="1">
      <alignment vertical="center"/>
    </xf>
    <xf numFmtId="175" fontId="8" fillId="4" borderId="23" xfId="0" applyNumberFormat="1" applyFont="1" applyFill="1" applyBorder="1" applyAlignment="1" applyProtection="1">
      <alignment vertical="center"/>
    </xf>
    <xf numFmtId="175" fontId="8" fillId="4" borderId="33" xfId="0" applyNumberFormat="1" applyFont="1" applyFill="1" applyBorder="1" applyAlignment="1" applyProtection="1">
      <alignment vertical="center"/>
    </xf>
    <xf numFmtId="180" fontId="8" fillId="2" borderId="31" xfId="0" applyNumberFormat="1" applyFont="1" applyFill="1" applyBorder="1" applyAlignment="1" applyProtection="1">
      <alignment vertical="center"/>
      <protection locked="0"/>
    </xf>
    <xf numFmtId="178" fontId="8" fillId="2" borderId="22" xfId="0" applyNumberFormat="1" applyFont="1" applyFill="1" applyBorder="1" applyAlignment="1" applyProtection="1">
      <alignment vertical="center"/>
      <protection locked="0"/>
    </xf>
    <xf numFmtId="167" fontId="8" fillId="4" borderId="20" xfId="0" applyNumberFormat="1" applyFont="1" applyFill="1" applyBorder="1" applyAlignment="1" applyProtection="1">
      <alignment horizontal="center" vertical="center"/>
    </xf>
    <xf numFmtId="184" fontId="8" fillId="0" borderId="23" xfId="0" applyNumberFormat="1" applyFont="1" applyBorder="1" applyAlignment="1" applyProtection="1">
      <alignment horizontal="right" vertical="center"/>
    </xf>
    <xf numFmtId="184" fontId="8" fillId="0" borderId="33" xfId="0" applyNumberFormat="1" applyFont="1" applyBorder="1" applyAlignment="1" applyProtection="1">
      <alignment horizontal="right" vertical="center"/>
    </xf>
    <xf numFmtId="0" fontId="13" fillId="0" borderId="3" xfId="0" applyFont="1" applyBorder="1" applyAlignment="1" applyProtection="1">
      <alignment vertical="center"/>
    </xf>
    <xf numFmtId="0" fontId="25" fillId="0" borderId="0" xfId="8" applyFont="1" applyBorder="1" applyAlignment="1" applyProtection="1">
      <alignment horizontal="left" vertical="center"/>
    </xf>
    <xf numFmtId="180" fontId="15" fillId="4" borderId="2" xfId="0" applyNumberFormat="1" applyFont="1" applyFill="1" applyBorder="1" applyAlignment="1" applyProtection="1">
      <alignment horizontal="right" vertical="center"/>
    </xf>
    <xf numFmtId="0" fontId="0" fillId="0" borderId="0" xfId="0" applyBorder="1" applyAlignment="1" applyProtection="1">
      <alignment horizontal="center" vertical="center"/>
    </xf>
    <xf numFmtId="0" fontId="8" fillId="0" borderId="0" xfId="0" applyFont="1" applyBorder="1" applyAlignment="1" applyProtection="1">
      <alignment horizontal="center" vertical="top"/>
    </xf>
    <xf numFmtId="0" fontId="0" fillId="0" borderId="34" xfId="0" applyBorder="1" applyAlignment="1" applyProtection="1">
      <alignment horizontal="center" vertical="center"/>
    </xf>
    <xf numFmtId="0" fontId="0" fillId="0" borderId="13" xfId="0" applyBorder="1" applyAlignment="1" applyProtection="1">
      <alignment horizontal="center" vertical="center"/>
    </xf>
    <xf numFmtId="0" fontId="0" fillId="0" borderId="20" xfId="0" applyBorder="1" applyAlignment="1" applyProtection="1">
      <alignment horizontal="center" vertical="center"/>
    </xf>
    <xf numFmtId="0" fontId="0" fillId="0" borderId="33" xfId="0" applyBorder="1" applyAlignment="1" applyProtection="1">
      <alignment horizontal="center" vertical="center"/>
    </xf>
    <xf numFmtId="0" fontId="0" fillId="0" borderId="23" xfId="0" applyBorder="1" applyAlignment="1" applyProtection="1">
      <alignment horizontal="center" vertical="center"/>
    </xf>
    <xf numFmtId="0" fontId="0" fillId="0" borderId="23" xfId="0" applyBorder="1" applyAlignment="1">
      <alignment horizontal="center"/>
    </xf>
    <xf numFmtId="0" fontId="0" fillId="0" borderId="0" xfId="0" applyAlignment="1" applyProtection="1">
      <alignment horizontal="center"/>
    </xf>
    <xf numFmtId="0" fontId="15" fillId="0" borderId="0" xfId="0" applyFont="1" applyAlignment="1" applyProtection="1">
      <alignment horizontal="center" vertical="center"/>
    </xf>
    <xf numFmtId="178" fontId="12" fillId="4" borderId="40" xfId="0" applyNumberFormat="1" applyFont="1" applyFill="1" applyBorder="1" applyAlignment="1" applyProtection="1">
      <alignment vertical="center"/>
    </xf>
    <xf numFmtId="0" fontId="0" fillId="0" borderId="10" xfId="0" applyBorder="1" applyProtection="1"/>
    <xf numFmtId="0" fontId="0" fillId="0" borderId="1" xfId="0" applyBorder="1" applyProtection="1"/>
    <xf numFmtId="0" fontId="0" fillId="0" borderId="24" xfId="0" applyBorder="1" applyAlignment="1">
      <alignment horizontal="centerContinuous"/>
    </xf>
    <xf numFmtId="0" fontId="0" fillId="0" borderId="34" xfId="0" applyBorder="1" applyAlignment="1" applyProtection="1">
      <alignment horizontal="centerContinuous"/>
    </xf>
    <xf numFmtId="1" fontId="0" fillId="0" borderId="20" xfId="0" applyNumberFormat="1" applyBorder="1" applyProtection="1"/>
    <xf numFmtId="1" fontId="0" fillId="0" borderId="1" xfId="0" applyNumberFormat="1" applyBorder="1" applyProtection="1"/>
    <xf numFmtId="0" fontId="25" fillId="0" borderId="24" xfId="0" applyFont="1" applyBorder="1" applyAlignment="1" applyProtection="1">
      <alignment vertical="center"/>
    </xf>
    <xf numFmtId="0" fontId="6" fillId="0" borderId="11" xfId="0" applyFont="1" applyBorder="1" applyAlignment="1" applyProtection="1">
      <alignment vertical="center"/>
    </xf>
    <xf numFmtId="0" fontId="25" fillId="0" borderId="11" xfId="0" applyFont="1" applyBorder="1" applyAlignment="1" applyProtection="1">
      <alignment vertical="center"/>
    </xf>
    <xf numFmtId="0" fontId="8" fillId="0" borderId="0" xfId="0" applyFont="1" applyAlignment="1" applyProtection="1">
      <alignment horizontal="left" vertical="center"/>
    </xf>
    <xf numFmtId="0" fontId="12" fillId="0" borderId="34" xfId="0" applyFont="1" applyBorder="1" applyAlignment="1" applyProtection="1">
      <alignment horizontal="right" vertical="center"/>
    </xf>
    <xf numFmtId="0" fontId="0" fillId="0" borderId="24" xfId="0" applyBorder="1" applyAlignment="1" applyProtection="1">
      <alignment horizontal="centerContinuous"/>
    </xf>
    <xf numFmtId="0" fontId="12" fillId="0" borderId="13" xfId="0" applyFont="1" applyBorder="1" applyAlignment="1" applyProtection="1">
      <alignment horizontal="center" vertical="center"/>
    </xf>
    <xf numFmtId="0" fontId="8" fillId="4" borderId="6" xfId="0" applyFont="1" applyFill="1" applyBorder="1" applyAlignment="1" applyProtection="1">
      <alignment horizontal="center" vertical="center"/>
    </xf>
    <xf numFmtId="0" fontId="8" fillId="4" borderId="12" xfId="0" applyFont="1" applyFill="1" applyBorder="1" applyAlignment="1" applyProtection="1">
      <alignment horizontal="center" vertical="center"/>
    </xf>
    <xf numFmtId="0" fontId="12" fillId="4" borderId="13" xfId="0" applyFont="1" applyFill="1" applyBorder="1" applyAlignment="1" applyProtection="1">
      <alignment horizontal="center" vertical="center"/>
    </xf>
    <xf numFmtId="0" fontId="8" fillId="0" borderId="0" xfId="0" applyFont="1" applyBorder="1" applyAlignment="1" applyProtection="1">
      <alignment horizontal="center" vertical="center"/>
    </xf>
    <xf numFmtId="0" fontId="8" fillId="2" borderId="0" xfId="0" applyFont="1" applyFill="1" applyBorder="1" applyAlignment="1" applyProtection="1">
      <alignment vertical="center"/>
      <protection locked="0"/>
    </xf>
    <xf numFmtId="0" fontId="8" fillId="2" borderId="0" xfId="0" applyFont="1" applyFill="1" applyBorder="1" applyAlignment="1" applyProtection="1">
      <alignment vertical="center"/>
    </xf>
    <xf numFmtId="0" fontId="25" fillId="2" borderId="5" xfId="0" applyFont="1" applyFill="1" applyBorder="1" applyAlignment="1" applyProtection="1">
      <alignment horizontal="center" vertical="center"/>
      <protection locked="0"/>
    </xf>
    <xf numFmtId="175" fontId="15" fillId="4" borderId="22" xfId="8" applyNumberFormat="1" applyFont="1" applyFill="1" applyBorder="1" applyAlignment="1" applyProtection="1">
      <alignment horizontal="center" vertical="center"/>
    </xf>
    <xf numFmtId="175" fontId="15" fillId="4" borderId="43" xfId="8" applyNumberFormat="1" applyFont="1" applyFill="1" applyBorder="1" applyAlignment="1" applyProtection="1">
      <alignment horizontal="center" vertical="center"/>
    </xf>
    <xf numFmtId="0" fontId="15" fillId="0" borderId="17" xfId="0" applyFont="1" applyBorder="1" applyAlignment="1" applyProtection="1">
      <alignment vertical="center"/>
    </xf>
    <xf numFmtId="180" fontId="12" fillId="0" borderId="34" xfId="0" applyNumberFormat="1" applyFont="1" applyBorder="1" applyAlignment="1" applyProtection="1">
      <alignment horizontal="centerContinuous" vertical="center"/>
    </xf>
    <xf numFmtId="0" fontId="15" fillId="0" borderId="23" xfId="0" applyFont="1" applyBorder="1" applyAlignment="1" applyProtection="1">
      <alignment horizontal="center" vertical="center"/>
    </xf>
    <xf numFmtId="0" fontId="8" fillId="0" borderId="20" xfId="0" applyFont="1" applyBorder="1" applyAlignment="1" applyProtection="1">
      <alignment horizontal="center" vertical="center"/>
    </xf>
    <xf numFmtId="0" fontId="15" fillId="0" borderId="23" xfId="0" applyFont="1" applyBorder="1" applyAlignment="1" applyProtection="1">
      <alignment vertical="center"/>
    </xf>
    <xf numFmtId="2" fontId="15" fillId="0" borderId="3" xfId="0" applyNumberFormat="1" applyFont="1" applyBorder="1" applyAlignment="1">
      <alignment vertical="center"/>
    </xf>
    <xf numFmtId="178" fontId="19" fillId="0" borderId="4" xfId="0" applyNumberFormat="1" applyFont="1" applyBorder="1" applyAlignment="1" applyProtection="1">
      <alignment vertical="center"/>
    </xf>
    <xf numFmtId="178" fontId="8" fillId="0" borderId="23" xfId="0" applyNumberFormat="1" applyFont="1" applyBorder="1" applyAlignment="1" applyProtection="1">
      <alignment vertical="top"/>
    </xf>
    <xf numFmtId="0" fontId="8" fillId="0" borderId="18" xfId="0" applyFont="1" applyBorder="1" applyAlignment="1" applyProtection="1">
      <alignment vertical="center"/>
    </xf>
    <xf numFmtId="0" fontId="8" fillId="0" borderId="44" xfId="0" applyFont="1" applyBorder="1" applyAlignment="1" applyProtection="1">
      <alignment vertical="center"/>
    </xf>
    <xf numFmtId="0" fontId="0" fillId="0" borderId="44" xfId="0" applyBorder="1"/>
    <xf numFmtId="176" fontId="8" fillId="4" borderId="20" xfId="0" applyNumberFormat="1" applyFont="1" applyFill="1" applyBorder="1" applyAlignment="1" applyProtection="1">
      <alignment vertical="center"/>
    </xf>
    <xf numFmtId="0" fontId="27" fillId="0" borderId="0" xfId="0" applyFont="1" applyBorder="1" applyAlignment="1" applyProtection="1">
      <alignment vertical="top"/>
    </xf>
    <xf numFmtId="0" fontId="22" fillId="0" borderId="0" xfId="0" applyFont="1" applyBorder="1" applyAlignment="1" applyProtection="1">
      <alignment vertical="center"/>
    </xf>
    <xf numFmtId="0" fontId="27" fillId="4" borderId="0" xfId="0" applyFont="1" applyFill="1" applyAlignment="1" applyProtection="1">
      <alignment horizontal="right" vertical="top"/>
    </xf>
    <xf numFmtId="0" fontId="9" fillId="0" borderId="0" xfId="0" applyFont="1" applyBorder="1" applyAlignment="1" applyProtection="1">
      <alignment vertical="center"/>
    </xf>
    <xf numFmtId="0" fontId="22" fillId="4" borderId="0" xfId="0" applyFont="1" applyFill="1" applyBorder="1" applyAlignment="1" applyProtection="1">
      <alignment horizontal="right" vertical="center"/>
    </xf>
    <xf numFmtId="2" fontId="54" fillId="0" borderId="0" xfId="0" applyNumberFormat="1" applyFont="1" applyBorder="1" applyAlignment="1">
      <alignment vertical="center"/>
    </xf>
    <xf numFmtId="0" fontId="9" fillId="0" borderId="0" xfId="0" applyFont="1" applyAlignment="1" applyProtection="1">
      <alignment horizontal="left" vertical="center"/>
    </xf>
    <xf numFmtId="0" fontId="17" fillId="0" borderId="4" xfId="0" applyFont="1" applyBorder="1" applyAlignment="1" applyProtection="1">
      <alignment vertical="center"/>
    </xf>
    <xf numFmtId="1" fontId="25" fillId="0" borderId="0" xfId="0" applyNumberFormat="1" applyFont="1" applyBorder="1" applyAlignment="1" applyProtection="1">
      <alignment vertical="center"/>
    </xf>
    <xf numFmtId="0" fontId="62" fillId="0" borderId="0" xfId="0" applyFont="1" applyAlignment="1">
      <alignment vertical="center"/>
    </xf>
    <xf numFmtId="0" fontId="56" fillId="0" borderId="4" xfId="0" applyFont="1" applyBorder="1" applyAlignment="1">
      <alignment vertical="center"/>
    </xf>
    <xf numFmtId="2" fontId="56" fillId="0" borderId="4" xfId="0" applyNumberFormat="1" applyFont="1" applyBorder="1" applyAlignment="1">
      <alignment vertical="center"/>
    </xf>
    <xf numFmtId="0" fontId="22" fillId="0" borderId="5" xfId="0" applyFont="1" applyBorder="1" applyAlignment="1">
      <alignment vertical="top"/>
    </xf>
    <xf numFmtId="0" fontId="27" fillId="0" borderId="4" xfId="0" applyFont="1" applyBorder="1" applyAlignment="1">
      <alignment vertical="center"/>
    </xf>
    <xf numFmtId="2" fontId="27" fillId="0" borderId="4" xfId="0" applyNumberFormat="1" applyFont="1" applyBorder="1" applyAlignment="1">
      <alignment vertical="center"/>
    </xf>
    <xf numFmtId="2" fontId="27" fillId="0" borderId="5" xfId="0" applyNumberFormat="1" applyFont="1" applyBorder="1" applyAlignment="1">
      <alignment vertical="center"/>
    </xf>
    <xf numFmtId="3" fontId="56" fillId="0" borderId="4" xfId="0" applyNumberFormat="1" applyFont="1" applyBorder="1" applyAlignment="1">
      <alignment vertical="center"/>
    </xf>
    <xf numFmtId="175" fontId="15" fillId="2" borderId="5" xfId="8" applyNumberFormat="1" applyFont="1" applyFill="1" applyBorder="1" applyAlignment="1" applyProtection="1">
      <alignment vertical="center"/>
    </xf>
    <xf numFmtId="0" fontId="15" fillId="4" borderId="0" xfId="8" applyFont="1" applyFill="1" applyBorder="1" applyAlignment="1" applyProtection="1"/>
    <xf numFmtId="167" fontId="8" fillId="4" borderId="20" xfId="0" applyNumberFormat="1" applyFont="1" applyFill="1" applyBorder="1" applyAlignment="1" applyProtection="1">
      <alignment vertical="center"/>
    </xf>
    <xf numFmtId="179" fontId="8" fillId="2" borderId="28" xfId="0" applyNumberFormat="1" applyFont="1" applyFill="1" applyBorder="1" applyAlignment="1" applyProtection="1">
      <alignment vertical="center"/>
      <protection locked="0"/>
    </xf>
    <xf numFmtId="179" fontId="8" fillId="0" borderId="33" xfId="0" applyNumberFormat="1" applyFont="1" applyBorder="1" applyAlignment="1" applyProtection="1">
      <alignment horizontal="right" vertical="center"/>
    </xf>
    <xf numFmtId="179" fontId="8" fillId="2" borderId="43" xfId="0" applyNumberFormat="1" applyFont="1" applyFill="1" applyBorder="1" applyAlignment="1" applyProtection="1">
      <alignment vertical="center"/>
      <protection locked="0"/>
    </xf>
    <xf numFmtId="179" fontId="8" fillId="4" borderId="33" xfId="0" applyNumberFormat="1" applyFont="1" applyFill="1" applyBorder="1" applyAlignment="1" applyProtection="1">
      <alignment vertical="center"/>
    </xf>
    <xf numFmtId="184" fontId="8" fillId="2" borderId="21" xfId="0" applyNumberFormat="1" applyFont="1" applyFill="1" applyBorder="1" applyAlignment="1" applyProtection="1">
      <alignment vertical="center"/>
      <protection locked="0"/>
    </xf>
    <xf numFmtId="184" fontId="8" fillId="0" borderId="1" xfId="0" applyNumberFormat="1" applyFont="1" applyBorder="1" applyAlignment="1" applyProtection="1">
      <alignment horizontal="right" vertical="center"/>
    </xf>
    <xf numFmtId="14" fontId="15" fillId="0" borderId="0" xfId="0" applyNumberFormat="1" applyFont="1" applyFill="1" applyAlignment="1" applyProtection="1">
      <alignment horizontal="left" vertical="top"/>
    </xf>
    <xf numFmtId="0" fontId="64" fillId="0" borderId="0" xfId="0" applyFont="1" applyAlignment="1" applyProtection="1">
      <alignment vertical="center"/>
    </xf>
    <xf numFmtId="3" fontId="15" fillId="0" borderId="0" xfId="0" applyNumberFormat="1" applyFont="1"/>
    <xf numFmtId="0" fontId="15" fillId="0" borderId="0" xfId="0" applyFont="1"/>
    <xf numFmtId="3" fontId="56" fillId="0" borderId="0" xfId="0" applyNumberFormat="1" applyFont="1" applyAlignment="1">
      <alignment horizontal="centerContinuous"/>
    </xf>
    <xf numFmtId="3" fontId="17" fillId="0" borderId="0" xfId="0" applyNumberFormat="1" applyFont="1" applyAlignment="1">
      <alignment horizontal="left"/>
    </xf>
    <xf numFmtId="3" fontId="17" fillId="0" borderId="24" xfId="0" applyNumberFormat="1" applyFont="1" applyBorder="1"/>
    <xf numFmtId="3" fontId="17" fillId="0" borderId="1" xfId="0" applyNumberFormat="1" applyFont="1" applyBorder="1" applyAlignment="1">
      <alignment horizontal="center"/>
    </xf>
    <xf numFmtId="3" fontId="17" fillId="0" borderId="45" xfId="0" applyNumberFormat="1" applyFont="1" applyBorder="1" applyAlignment="1">
      <alignment horizontal="center"/>
    </xf>
    <xf numFmtId="3" fontId="17" fillId="0" borderId="46" xfId="0" applyNumberFormat="1" applyFont="1" applyBorder="1" applyAlignment="1">
      <alignment horizontal="center"/>
    </xf>
    <xf numFmtId="0" fontId="17" fillId="0" borderId="47" xfId="0" applyFont="1" applyBorder="1" applyAlignment="1">
      <alignment horizontal="center"/>
    </xf>
    <xf numFmtId="3" fontId="17" fillId="0" borderId="1" xfId="0" applyNumberFormat="1" applyFont="1" applyBorder="1"/>
    <xf numFmtId="3" fontId="17" fillId="0" borderId="48" xfId="0" applyNumberFormat="1" applyFont="1" applyBorder="1" applyAlignment="1">
      <alignment horizontal="center"/>
    </xf>
    <xf numFmtId="3" fontId="15" fillId="0" borderId="23" xfId="0" applyNumberFormat="1" applyFont="1" applyBorder="1"/>
    <xf numFmtId="180" fontId="15" fillId="0" borderId="49" xfId="0" applyNumberFormat="1" applyFont="1" applyBorder="1"/>
    <xf numFmtId="180" fontId="15" fillId="0" borderId="47" xfId="0" applyNumberFormat="1" applyFont="1" applyBorder="1"/>
    <xf numFmtId="180" fontId="15" fillId="0" borderId="50" xfId="0" applyNumberFormat="1" applyFont="1" applyBorder="1"/>
    <xf numFmtId="180" fontId="15" fillId="0" borderId="51" xfId="0" applyNumberFormat="1" applyFont="1" applyBorder="1"/>
    <xf numFmtId="3" fontId="15" fillId="0" borderId="49" xfId="0" applyNumberFormat="1" applyFont="1" applyBorder="1"/>
    <xf numFmtId="3" fontId="15" fillId="0" borderId="47" xfId="0" applyNumberFormat="1" applyFont="1" applyBorder="1"/>
    <xf numFmtId="3" fontId="15" fillId="0" borderId="50" xfId="0" applyNumberFormat="1" applyFont="1" applyBorder="1"/>
    <xf numFmtId="3" fontId="15" fillId="0" borderId="51" xfId="0" applyNumberFormat="1" applyFont="1" applyBorder="1"/>
    <xf numFmtId="178" fontId="15" fillId="0" borderId="50" xfId="0" applyNumberFormat="1" applyFont="1" applyBorder="1"/>
    <xf numFmtId="178" fontId="15" fillId="0" borderId="51" xfId="0" applyNumberFormat="1" applyFont="1" applyBorder="1"/>
    <xf numFmtId="178" fontId="15" fillId="0" borderId="49" xfId="0" applyNumberFormat="1" applyFont="1" applyBorder="1"/>
    <xf numFmtId="178" fontId="15" fillId="0" borderId="47" xfId="0" applyNumberFormat="1" applyFont="1" applyBorder="1"/>
    <xf numFmtId="3" fontId="17" fillId="0" borderId="33" xfId="0" applyNumberFormat="1" applyFont="1" applyBorder="1"/>
    <xf numFmtId="3" fontId="15" fillId="0" borderId="33" xfId="0" applyNumberFormat="1" applyFont="1" applyBorder="1" applyAlignment="1">
      <alignment horizontal="center"/>
    </xf>
    <xf numFmtId="180" fontId="17" fillId="0" borderId="52" xfId="0" applyNumberFormat="1" applyFont="1" applyBorder="1"/>
    <xf numFmtId="180" fontId="17" fillId="0" borderId="53" xfId="0" applyNumberFormat="1" applyFont="1" applyBorder="1"/>
    <xf numFmtId="180" fontId="17" fillId="0" borderId="54" xfId="0" applyNumberFormat="1" applyFont="1" applyBorder="1"/>
    <xf numFmtId="3" fontId="64" fillId="0" borderId="23" xfId="0" applyNumberFormat="1" applyFont="1" applyBorder="1"/>
    <xf numFmtId="3" fontId="15" fillId="0" borderId="33" xfId="0" applyNumberFormat="1" applyFont="1" applyBorder="1"/>
    <xf numFmtId="179" fontId="15" fillId="0" borderId="50" xfId="0" applyNumberFormat="1" applyFont="1" applyBorder="1"/>
    <xf numFmtId="179" fontId="15" fillId="0" borderId="49" xfId="0" applyNumberFormat="1" applyFont="1" applyBorder="1"/>
    <xf numFmtId="179" fontId="15" fillId="0" borderId="47" xfId="0" applyNumberFormat="1" applyFont="1" applyBorder="1"/>
    <xf numFmtId="179" fontId="15" fillId="0" borderId="0" xfId="0" applyNumberFormat="1" applyFont="1"/>
    <xf numFmtId="171" fontId="15" fillId="0" borderId="52" xfId="0" applyNumberFormat="1" applyFont="1" applyBorder="1"/>
    <xf numFmtId="0" fontId="0" fillId="0" borderId="0" xfId="0" applyAlignment="1">
      <alignment horizontal="center"/>
    </xf>
    <xf numFmtId="3" fontId="20" fillId="0" borderId="24" xfId="0" applyNumberFormat="1" applyFont="1" applyBorder="1" applyAlignment="1">
      <alignment horizontal="left" vertical="center"/>
    </xf>
    <xf numFmtId="3" fontId="20" fillId="0" borderId="1" xfId="0" applyNumberFormat="1" applyFont="1" applyBorder="1" applyAlignment="1">
      <alignment horizontal="center" vertical="center"/>
    </xf>
    <xf numFmtId="0" fontId="20" fillId="0" borderId="11" xfId="0" applyFont="1" applyBorder="1" applyAlignment="1">
      <alignment horizontal="centerContinuous" vertical="center"/>
    </xf>
    <xf numFmtId="0" fontId="43" fillId="4" borderId="0" xfId="0" applyFont="1" applyFill="1" applyBorder="1" applyAlignment="1" applyProtection="1"/>
    <xf numFmtId="0" fontId="20" fillId="0" borderId="0" xfId="0" applyFont="1"/>
    <xf numFmtId="0" fontId="15" fillId="0" borderId="0" xfId="0" applyFont="1" applyAlignment="1" applyProtection="1">
      <alignment vertical="top"/>
    </xf>
    <xf numFmtId="0" fontId="19" fillId="0" borderId="0" xfId="0" applyFont="1" applyBorder="1" applyAlignment="1" applyProtection="1">
      <alignment vertical="top"/>
    </xf>
    <xf numFmtId="0" fontId="67" fillId="5" borderId="24" xfId="0" applyFont="1" applyFill="1" applyBorder="1" applyAlignment="1" applyProtection="1">
      <alignment horizontal="center" vertical="top"/>
    </xf>
    <xf numFmtId="0" fontId="68" fillId="5" borderId="11" xfId="0" applyFont="1" applyFill="1" applyBorder="1" applyAlignment="1" applyProtection="1">
      <alignment horizontal="left" vertical="top"/>
    </xf>
    <xf numFmtId="0" fontId="15" fillId="5" borderId="11" xfId="0" applyFont="1" applyFill="1" applyBorder="1" applyAlignment="1" applyProtection="1">
      <alignment vertical="top"/>
    </xf>
    <xf numFmtId="0" fontId="67" fillId="5" borderId="11" xfId="0" applyFont="1" applyFill="1" applyBorder="1" applyAlignment="1" applyProtection="1">
      <alignment horizontal="center" vertical="top"/>
    </xf>
    <xf numFmtId="0" fontId="0" fillId="5" borderId="11" xfId="0" applyFill="1" applyBorder="1"/>
    <xf numFmtId="0" fontId="0" fillId="5" borderId="34" xfId="0" applyFill="1" applyBorder="1"/>
    <xf numFmtId="0" fontId="19" fillId="5" borderId="24" xfId="0" applyFont="1" applyFill="1" applyBorder="1" applyAlignment="1" applyProtection="1">
      <alignment vertical="top"/>
    </xf>
    <xf numFmtId="0" fontId="67" fillId="5" borderId="11" xfId="0" applyFont="1" applyFill="1" applyBorder="1" applyAlignment="1" applyProtection="1">
      <alignment horizontal="left" vertical="top"/>
    </xf>
    <xf numFmtId="0" fontId="19" fillId="5" borderId="11" xfId="0" applyFont="1" applyFill="1" applyBorder="1" applyAlignment="1" applyProtection="1">
      <alignment vertical="top"/>
    </xf>
    <xf numFmtId="0" fontId="19" fillId="5" borderId="34" xfId="0" applyFont="1" applyFill="1" applyBorder="1" applyAlignment="1" applyProtection="1">
      <alignment vertical="top"/>
    </xf>
    <xf numFmtId="0" fontId="68" fillId="5" borderId="24" xfId="0" applyFont="1" applyFill="1" applyBorder="1" applyAlignment="1" applyProtection="1">
      <alignment horizontal="left" vertical="top"/>
    </xf>
    <xf numFmtId="0" fontId="19" fillId="0" borderId="13" xfId="0" applyFont="1" applyBorder="1" applyAlignment="1" applyProtection="1">
      <alignment vertical="top"/>
    </xf>
    <xf numFmtId="0" fontId="19" fillId="0" borderId="4" xfId="0" applyFont="1" applyBorder="1" applyAlignment="1" applyProtection="1">
      <alignment vertical="top"/>
    </xf>
    <xf numFmtId="0" fontId="15" fillId="0" borderId="0" xfId="0" applyFont="1" applyBorder="1" applyAlignment="1" applyProtection="1">
      <alignment vertical="top"/>
    </xf>
    <xf numFmtId="0" fontId="0" fillId="0" borderId="11" xfId="0" applyBorder="1"/>
    <xf numFmtId="0" fontId="0" fillId="0" borderId="34" xfId="0" applyBorder="1"/>
    <xf numFmtId="0" fontId="6" fillId="0" borderId="24" xfId="0" applyFont="1" applyBorder="1"/>
    <xf numFmtId="0" fontId="17" fillId="0" borderId="11" xfId="0" applyFont="1" applyBorder="1"/>
    <xf numFmtId="0" fontId="15" fillId="0" borderId="11" xfId="0" applyFont="1" applyBorder="1" applyAlignment="1" applyProtection="1">
      <alignment vertical="top"/>
    </xf>
    <xf numFmtId="0" fontId="15" fillId="0" borderId="34" xfId="0" applyFont="1" applyBorder="1" applyAlignment="1" applyProtection="1">
      <alignment vertical="top"/>
    </xf>
    <xf numFmtId="0" fontId="15" fillId="0" borderId="11" xfId="0" applyFont="1" applyBorder="1" applyAlignment="1">
      <alignment horizontal="center"/>
    </xf>
    <xf numFmtId="0" fontId="15" fillId="0" borderId="34" xfId="0" applyFont="1" applyBorder="1" applyAlignment="1">
      <alignment horizontal="center"/>
    </xf>
    <xf numFmtId="0" fontId="6" fillId="0" borderId="0" xfId="0" applyFont="1"/>
    <xf numFmtId="0" fontId="15" fillId="0" borderId="11" xfId="0" applyFont="1" applyBorder="1" applyAlignment="1">
      <alignment horizontal="left"/>
    </xf>
    <xf numFmtId="49" fontId="2" fillId="0" borderId="0" xfId="0" applyNumberFormat="1" applyFont="1" applyBorder="1" applyAlignment="1">
      <alignment horizontal="right" vertical="center"/>
    </xf>
    <xf numFmtId="49" fontId="0" fillId="0" borderId="0" xfId="0" applyNumberFormat="1" applyAlignment="1">
      <alignment vertical="center"/>
    </xf>
    <xf numFmtId="49" fontId="0" fillId="0" borderId="0" xfId="0" applyNumberFormat="1"/>
    <xf numFmtId="49" fontId="25" fillId="0" borderId="0" xfId="0" applyNumberFormat="1" applyFont="1" applyBorder="1" applyAlignment="1">
      <alignment horizontal="right" vertical="center"/>
    </xf>
    <xf numFmtId="0" fontId="15" fillId="0" borderId="3" xfId="0" applyFont="1" applyBorder="1" applyAlignment="1">
      <alignment horizontal="left"/>
    </xf>
    <xf numFmtId="0" fontId="15" fillId="0" borderId="5" xfId="0" applyFont="1" applyBorder="1" applyAlignment="1">
      <alignment horizontal="left"/>
    </xf>
    <xf numFmtId="0" fontId="15" fillId="0" borderId="6" xfId="0" applyFont="1" applyBorder="1" applyAlignment="1">
      <alignment horizontal="left"/>
    </xf>
    <xf numFmtId="0" fontId="15" fillId="0" borderId="11" xfId="0" applyFont="1" applyBorder="1" applyAlignment="1">
      <alignment horizontal="centerContinuous"/>
    </xf>
    <xf numFmtId="0" fontId="56" fillId="0" borderId="0" xfId="0" applyFont="1" applyBorder="1" applyAlignment="1" applyProtection="1">
      <alignment horizontal="centerContinuous" vertical="top"/>
    </xf>
    <xf numFmtId="0" fontId="15" fillId="0" borderId="10" xfId="0" applyFont="1" applyBorder="1" applyAlignment="1">
      <alignment horizontal="left"/>
    </xf>
    <xf numFmtId="0" fontId="15" fillId="0" borderId="4" xfId="0" applyFont="1" applyBorder="1" applyAlignment="1">
      <alignment horizontal="left"/>
    </xf>
    <xf numFmtId="0" fontId="15" fillId="0" borderId="13" xfId="0" applyFont="1" applyBorder="1" applyAlignment="1">
      <alignment horizontal="left"/>
    </xf>
    <xf numFmtId="0" fontId="15" fillId="0" borderId="2" xfId="0" applyFont="1" applyBorder="1" applyAlignment="1">
      <alignment horizontal="left"/>
    </xf>
    <xf numFmtId="0" fontId="15" fillId="0" borderId="0" xfId="0" applyFont="1" applyBorder="1" applyAlignment="1">
      <alignment horizontal="left"/>
    </xf>
    <xf numFmtId="0" fontId="15" fillId="0" borderId="12" xfId="0" applyFont="1" applyBorder="1" applyAlignment="1">
      <alignment horizontal="left"/>
    </xf>
    <xf numFmtId="0" fontId="0" fillId="0" borderId="0" xfId="0" applyAlignment="1">
      <alignment wrapText="1"/>
    </xf>
    <xf numFmtId="189" fontId="8" fillId="2" borderId="27" xfId="0" applyNumberFormat="1" applyFont="1" applyFill="1" applyBorder="1" applyAlignment="1" applyProtection="1">
      <alignment vertical="center"/>
      <protection locked="0"/>
    </xf>
    <xf numFmtId="3" fontId="8" fillId="0" borderId="23" xfId="0" applyNumberFormat="1" applyFont="1" applyBorder="1" applyAlignment="1">
      <alignment horizontal="center"/>
    </xf>
    <xf numFmtId="0" fontId="8" fillId="0" borderId="4" xfId="0" applyFont="1" applyBorder="1" applyAlignment="1" applyProtection="1">
      <alignment horizontal="left" vertical="center"/>
    </xf>
    <xf numFmtId="0" fontId="8" fillId="0" borderId="55" xfId="8" applyFont="1" applyBorder="1" applyAlignment="1" applyProtection="1">
      <alignment horizontal="center" vertical="center"/>
    </xf>
    <xf numFmtId="0" fontId="0" fillId="0" borderId="3" xfId="0" applyBorder="1"/>
    <xf numFmtId="0" fontId="20" fillId="0" borderId="4" xfId="0" applyFont="1" applyBorder="1" applyAlignment="1" applyProtection="1">
      <alignment vertical="center"/>
    </xf>
    <xf numFmtId="0" fontId="0" fillId="0" borderId="0" xfId="0" applyAlignment="1" applyProtection="1">
      <alignment horizontal="center" vertical="center"/>
    </xf>
    <xf numFmtId="0" fontId="23" fillId="0" borderId="0" xfId="0" applyFont="1" applyAlignment="1" applyProtection="1">
      <alignment horizontal="center" vertical="center"/>
    </xf>
    <xf numFmtId="0" fontId="23" fillId="0" borderId="0" xfId="0" applyFont="1" applyAlignment="1" applyProtection="1">
      <alignment horizontal="left" vertical="center"/>
    </xf>
    <xf numFmtId="0" fontId="34" fillId="0" borderId="0" xfId="0" applyFont="1" applyProtection="1"/>
    <xf numFmtId="0" fontId="34" fillId="0" borderId="0" xfId="0" applyFont="1" applyAlignment="1" applyProtection="1">
      <alignment horizontal="right"/>
    </xf>
    <xf numFmtId="0" fontId="34" fillId="0" borderId="0" xfId="0" applyFont="1" applyAlignment="1" applyProtection="1">
      <alignment horizontal="center"/>
    </xf>
    <xf numFmtId="9" fontId="34" fillId="0" borderId="0" xfId="7" applyFont="1" applyAlignment="1" applyProtection="1">
      <alignment horizontal="center"/>
    </xf>
    <xf numFmtId="0" fontId="34" fillId="0" borderId="0" xfId="0" applyFont="1" applyAlignment="1" applyProtection="1"/>
    <xf numFmtId="9" fontId="34" fillId="0" borderId="0" xfId="7" applyFont="1" applyAlignment="1" applyProtection="1"/>
    <xf numFmtId="9" fontId="17" fillId="0" borderId="0" xfId="7" applyFont="1" applyAlignment="1" applyProtection="1">
      <alignment vertical="center"/>
    </xf>
    <xf numFmtId="9" fontId="34" fillId="0" borderId="0" xfId="7" applyFont="1" applyAlignment="1" applyProtection="1">
      <alignment horizontal="right"/>
    </xf>
    <xf numFmtId="0" fontId="0" fillId="0" borderId="4" xfId="0" applyBorder="1" applyAlignment="1" applyProtection="1">
      <alignment horizontal="center"/>
    </xf>
    <xf numFmtId="0" fontId="0" fillId="0" borderId="4" xfId="0" applyBorder="1" applyAlignment="1" applyProtection="1"/>
    <xf numFmtId="0" fontId="0" fillId="0" borderId="13" xfId="0" applyBorder="1" applyAlignment="1" applyProtection="1"/>
    <xf numFmtId="0" fontId="0" fillId="0" borderId="0" xfId="0" applyBorder="1" applyAlignment="1" applyProtection="1">
      <alignment horizontal="center"/>
    </xf>
    <xf numFmtId="0" fontId="0" fillId="0" borderId="0" xfId="0" applyBorder="1" applyAlignment="1" applyProtection="1"/>
    <xf numFmtId="0" fontId="0" fillId="0" borderId="12" xfId="0" applyBorder="1" applyAlignment="1" applyProtection="1"/>
    <xf numFmtId="0" fontId="25" fillId="0" borderId="5" xfId="0" applyFont="1" applyBorder="1" applyAlignment="1" applyProtection="1">
      <alignment horizontal="right"/>
    </xf>
    <xf numFmtId="0" fontId="0" fillId="0" borderId="5" xfId="0" applyBorder="1" applyAlignment="1" applyProtection="1">
      <alignment horizontal="center"/>
    </xf>
    <xf numFmtId="9" fontId="34" fillId="0" borderId="5" xfId="7" applyFont="1" applyBorder="1" applyAlignment="1" applyProtection="1"/>
    <xf numFmtId="0" fontId="0" fillId="0" borderId="6" xfId="0" applyBorder="1" applyAlignment="1" applyProtection="1"/>
    <xf numFmtId="14" fontId="23" fillId="0" borderId="0" xfId="0" applyNumberFormat="1" applyFont="1" applyAlignment="1" applyProtection="1">
      <alignment vertical="center"/>
    </xf>
    <xf numFmtId="0" fontId="23" fillId="0" borderId="2" xfId="0" applyFont="1" applyBorder="1" applyAlignment="1" applyProtection="1">
      <alignment vertical="center"/>
    </xf>
    <xf numFmtId="0" fontId="23" fillId="0" borderId="0" xfId="0" applyFont="1" applyBorder="1" applyAlignment="1" applyProtection="1">
      <alignment vertical="center"/>
    </xf>
    <xf numFmtId="0" fontId="23" fillId="0" borderId="12" xfId="0" applyFont="1" applyBorder="1" applyAlignment="1" applyProtection="1">
      <alignment vertical="center"/>
    </xf>
    <xf numFmtId="0" fontId="23" fillId="0" borderId="3" xfId="0" applyFont="1" applyBorder="1" applyAlignment="1" applyProtection="1">
      <alignment vertical="center"/>
    </xf>
    <xf numFmtId="0" fontId="23" fillId="0" borderId="5" xfId="0" applyFont="1" applyBorder="1" applyAlignment="1" applyProtection="1">
      <alignment vertical="center"/>
    </xf>
    <xf numFmtId="0" fontId="23" fillId="0" borderId="6" xfId="0" applyFont="1" applyBorder="1" applyAlignment="1" applyProtection="1">
      <alignment vertical="center"/>
    </xf>
    <xf numFmtId="0" fontId="23" fillId="0" borderId="10" xfId="0" applyFont="1" applyBorder="1" applyAlignment="1" applyProtection="1">
      <alignment vertical="center"/>
    </xf>
    <xf numFmtId="14" fontId="15" fillId="0" borderId="0" xfId="0" applyNumberFormat="1" applyFont="1" applyAlignment="1" applyProtection="1">
      <alignment vertical="center"/>
    </xf>
    <xf numFmtId="0" fontId="23" fillId="0" borderId="4" xfId="0" applyFont="1" applyBorder="1" applyAlignment="1" applyProtection="1">
      <alignment vertical="center"/>
    </xf>
    <xf numFmtId="0" fontId="23" fillId="0" borderId="13" xfId="0" applyFont="1" applyBorder="1" applyAlignment="1" applyProtection="1">
      <alignment vertical="center"/>
    </xf>
    <xf numFmtId="1" fontId="20" fillId="3" borderId="0" xfId="0" applyNumberFormat="1" applyFont="1" applyFill="1" applyAlignment="1" applyProtection="1">
      <alignment vertical="center"/>
    </xf>
    <xf numFmtId="0" fontId="15" fillId="0" borderId="12" xfId="0" applyFont="1" applyBorder="1" applyAlignment="1" applyProtection="1">
      <alignment vertical="center"/>
    </xf>
    <xf numFmtId="1" fontId="71" fillId="6" borderId="0" xfId="0" applyNumberFormat="1" applyFont="1" applyFill="1" applyBorder="1" applyAlignment="1" applyProtection="1">
      <alignment vertical="center"/>
    </xf>
    <xf numFmtId="1" fontId="20" fillId="3" borderId="12" xfId="0" applyNumberFormat="1" applyFont="1" applyFill="1" applyBorder="1" applyAlignment="1" applyProtection="1">
      <alignment vertical="center"/>
    </xf>
    <xf numFmtId="0" fontId="23" fillId="0" borderId="0" xfId="0" applyFont="1" applyBorder="1" applyAlignment="1" applyProtection="1">
      <alignment horizontal="center" vertical="center"/>
    </xf>
    <xf numFmtId="0" fontId="23" fillId="0" borderId="2" xfId="0" applyFont="1" applyBorder="1" applyAlignment="1" applyProtection="1">
      <alignment horizontal="center" vertical="center"/>
    </xf>
    <xf numFmtId="167" fontId="15" fillId="0" borderId="0" xfId="7" applyNumberFormat="1" applyFont="1" applyAlignment="1" applyProtection="1">
      <alignment vertical="center"/>
    </xf>
    <xf numFmtId="10" fontId="23" fillId="0" borderId="0" xfId="0" applyNumberFormat="1" applyFont="1" applyAlignment="1" applyProtection="1">
      <alignment vertical="center"/>
    </xf>
    <xf numFmtId="191" fontId="45" fillId="7" borderId="0" xfId="0" applyNumberFormat="1" applyFont="1" applyFill="1" applyBorder="1" applyAlignment="1" applyProtection="1">
      <alignment horizontal="center" vertical="center"/>
      <protection locked="0"/>
    </xf>
    <xf numFmtId="3" fontId="8" fillId="0" borderId="33" xfId="0" applyNumberFormat="1" applyFont="1" applyBorder="1" applyAlignment="1">
      <alignment horizontal="center"/>
    </xf>
    <xf numFmtId="178" fontId="8" fillId="0" borderId="23" xfId="0" applyNumberFormat="1" applyFont="1" applyBorder="1" applyAlignment="1">
      <alignment horizontal="center"/>
    </xf>
    <xf numFmtId="1" fontId="54" fillId="0" borderId="0" xfId="0" applyNumberFormat="1" applyFont="1" applyBorder="1" applyAlignment="1">
      <alignment vertical="center"/>
    </xf>
    <xf numFmtId="0" fontId="8" fillId="0" borderId="0" xfId="0" applyFont="1" applyBorder="1" applyAlignment="1" applyProtection="1">
      <alignment horizontal="right" vertical="center"/>
    </xf>
    <xf numFmtId="171" fontId="8" fillId="4" borderId="31" xfId="0" applyNumberFormat="1" applyFont="1" applyFill="1" applyBorder="1" applyAlignment="1" applyProtection="1">
      <alignment horizontal="right" vertical="center"/>
    </xf>
    <xf numFmtId="171" fontId="8" fillId="4" borderId="28" xfId="0" applyNumberFormat="1" applyFont="1" applyFill="1" applyBorder="1" applyAlignment="1" applyProtection="1">
      <alignment vertical="center"/>
    </xf>
    <xf numFmtId="180" fontId="8" fillId="4" borderId="31" xfId="0" applyNumberFormat="1" applyFont="1" applyFill="1" applyBorder="1" applyAlignment="1" applyProtection="1">
      <alignment vertical="center"/>
    </xf>
    <xf numFmtId="179" fontId="8" fillId="4" borderId="28" xfId="0" applyNumberFormat="1" applyFont="1" applyFill="1" applyBorder="1" applyAlignment="1" applyProtection="1">
      <alignment vertical="center"/>
    </xf>
    <xf numFmtId="178" fontId="8" fillId="4" borderId="42" xfId="0" applyNumberFormat="1" applyFont="1" applyFill="1" applyBorder="1" applyAlignment="1" applyProtection="1">
      <alignment vertical="center"/>
    </xf>
    <xf numFmtId="178" fontId="8" fillId="4" borderId="22" xfId="0" applyNumberFormat="1" applyFont="1" applyFill="1" applyBorder="1" applyAlignment="1" applyProtection="1">
      <alignment vertical="center"/>
    </xf>
    <xf numFmtId="179" fontId="8" fillId="4" borderId="56" xfId="0" applyNumberFormat="1" applyFont="1" applyFill="1" applyBorder="1" applyAlignment="1" applyProtection="1">
      <alignment vertical="center"/>
    </xf>
    <xf numFmtId="179" fontId="8" fillId="4" borderId="43" xfId="0" applyNumberFormat="1" applyFont="1" applyFill="1" applyBorder="1" applyAlignment="1" applyProtection="1">
      <alignment vertical="center"/>
    </xf>
    <xf numFmtId="184" fontId="8" fillId="4" borderId="25" xfId="0" applyNumberFormat="1" applyFont="1" applyFill="1" applyBorder="1" applyAlignment="1" applyProtection="1">
      <alignment vertical="center"/>
    </xf>
    <xf numFmtId="1" fontId="56" fillId="0" borderId="0" xfId="0" applyNumberFormat="1" applyFont="1" applyAlignment="1">
      <alignment horizontal="centerContinuous"/>
    </xf>
    <xf numFmtId="0" fontId="25" fillId="0" borderId="13" xfId="0" applyFont="1" applyBorder="1" applyAlignment="1" applyProtection="1">
      <alignment vertical="center"/>
    </xf>
    <xf numFmtId="0" fontId="25" fillId="0" borderId="12" xfId="0" applyFont="1" applyBorder="1" applyAlignment="1" applyProtection="1">
      <alignment vertical="center"/>
    </xf>
    <xf numFmtId="0" fontId="25" fillId="0" borderId="6" xfId="0" applyFont="1" applyBorder="1" applyAlignment="1" applyProtection="1">
      <alignment vertical="center"/>
    </xf>
    <xf numFmtId="0" fontId="8" fillId="0" borderId="24" xfId="0" applyFont="1" applyBorder="1" applyAlignment="1" applyProtection="1">
      <alignment vertical="center"/>
    </xf>
    <xf numFmtId="0" fontId="25" fillId="0" borderId="34" xfId="0" applyFont="1" applyBorder="1" applyAlignment="1" applyProtection="1">
      <alignment vertical="center"/>
    </xf>
    <xf numFmtId="192" fontId="8" fillId="0" borderId="2" xfId="0" applyNumberFormat="1" applyFont="1" applyBorder="1" applyAlignment="1" applyProtection="1">
      <alignment vertical="center"/>
    </xf>
    <xf numFmtId="192" fontId="8" fillId="0" borderId="10" xfId="0" applyNumberFormat="1" applyFont="1" applyBorder="1" applyAlignment="1" applyProtection="1">
      <alignment vertical="center"/>
    </xf>
    <xf numFmtId="192" fontId="8" fillId="0" borderId="3" xfId="0" applyNumberFormat="1" applyFont="1" applyBorder="1" applyAlignment="1" applyProtection="1">
      <alignment vertical="center"/>
    </xf>
    <xf numFmtId="192" fontId="8" fillId="0" borderId="24" xfId="0" applyNumberFormat="1" applyFont="1" applyBorder="1" applyAlignment="1" applyProtection="1">
      <alignment vertical="center"/>
    </xf>
    <xf numFmtId="0" fontId="6" fillId="0" borderId="1" xfId="0" applyFont="1" applyBorder="1" applyAlignment="1" applyProtection="1">
      <alignment horizontal="centerContinuous"/>
    </xf>
    <xf numFmtId="0" fontId="6" fillId="0" borderId="1" xfId="0" applyFont="1" applyBorder="1" applyAlignment="1" applyProtection="1">
      <alignment horizontal="centerContinuous" vertical="center"/>
    </xf>
    <xf numFmtId="0" fontId="6" fillId="0" borderId="58" xfId="0" applyFont="1" applyBorder="1" applyAlignment="1" applyProtection="1">
      <alignment horizontal="centerContinuous"/>
    </xf>
    <xf numFmtId="0" fontId="6" fillId="0" borderId="59"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58" xfId="0" applyFont="1" applyBorder="1" applyAlignment="1" applyProtection="1">
      <alignment horizontal="center" vertical="center"/>
    </xf>
    <xf numFmtId="0" fontId="8" fillId="0" borderId="59" xfId="0" applyFont="1" applyBorder="1" applyAlignment="1" applyProtection="1">
      <alignment vertical="center"/>
    </xf>
    <xf numFmtId="178" fontId="8" fillId="2" borderId="59" xfId="0" applyNumberFormat="1" applyFont="1" applyFill="1" applyBorder="1" applyAlignment="1" applyProtection="1">
      <alignment vertical="center"/>
      <protection locked="0" hidden="1"/>
    </xf>
    <xf numFmtId="170" fontId="8" fillId="0" borderId="1" xfId="0" applyNumberFormat="1" applyFont="1" applyBorder="1" applyAlignment="1" applyProtection="1">
      <alignment vertical="center"/>
    </xf>
    <xf numFmtId="170" fontId="8" fillId="0" borderId="58" xfId="0" applyNumberFormat="1" applyFont="1" applyBorder="1" applyAlignment="1" applyProtection="1">
      <alignment vertical="center"/>
    </xf>
    <xf numFmtId="0" fontId="8" fillId="0" borderId="1" xfId="0" applyFont="1" applyBorder="1" applyAlignment="1" applyProtection="1">
      <alignment vertical="center"/>
    </xf>
    <xf numFmtId="170" fontId="8" fillId="2" borderId="1" xfId="0" applyNumberFormat="1" applyFont="1" applyFill="1" applyBorder="1" applyAlignment="1" applyProtection="1">
      <alignment vertical="center"/>
      <protection locked="0" hidden="1"/>
    </xf>
    <xf numFmtId="0" fontId="6" fillId="0" borderId="60" xfId="0" applyFont="1" applyBorder="1" applyAlignment="1" applyProtection="1">
      <alignment vertical="center"/>
    </xf>
    <xf numFmtId="0" fontId="12" fillId="0" borderId="0" xfId="0" applyFont="1" applyBorder="1" applyAlignment="1">
      <alignment horizontal="right" vertical="center"/>
    </xf>
    <xf numFmtId="0" fontId="12" fillId="0" borderId="11" xfId="0" applyFont="1" applyBorder="1" applyAlignment="1">
      <alignment horizontal="right" vertical="center"/>
    </xf>
    <xf numFmtId="0" fontId="12" fillId="0" borderId="0" xfId="8" applyFont="1" applyBorder="1" applyAlignment="1" applyProtection="1">
      <alignment horizontal="right" vertical="center"/>
    </xf>
    <xf numFmtId="0" fontId="6" fillId="3" borderId="1" xfId="0" applyFont="1" applyFill="1" applyBorder="1" applyAlignment="1" applyProtection="1">
      <alignment horizontal="centerContinuous" vertical="center"/>
    </xf>
    <xf numFmtId="0" fontId="6" fillId="0" borderId="0" xfId="0" applyFont="1" applyFill="1" applyBorder="1" applyAlignment="1" applyProtection="1">
      <alignment vertical="center"/>
    </xf>
    <xf numFmtId="0" fontId="49" fillId="0" borderId="0" xfId="0" applyFont="1"/>
    <xf numFmtId="0" fontId="8" fillId="0" borderId="0" xfId="0" applyFont="1" applyAlignment="1" applyProtection="1">
      <alignment vertical="center"/>
    </xf>
    <xf numFmtId="0" fontId="8" fillId="0" borderId="18" xfId="0" applyFont="1" applyBorder="1" applyAlignment="1" applyProtection="1">
      <alignment horizontal="center" vertical="center"/>
    </xf>
    <xf numFmtId="0" fontId="8" fillId="0" borderId="61" xfId="0" applyFont="1" applyBorder="1" applyAlignment="1" applyProtection="1">
      <alignment horizontal="center" vertical="center"/>
    </xf>
    <xf numFmtId="171" fontId="8" fillId="2" borderId="62" xfId="0" applyNumberFormat="1" applyFont="1" applyFill="1" applyBorder="1" applyAlignment="1" applyProtection="1">
      <alignment vertical="center"/>
      <protection locked="0"/>
    </xf>
    <xf numFmtId="179" fontId="8" fillId="4" borderId="19" xfId="0" applyNumberFormat="1" applyFont="1" applyFill="1" applyBorder="1" applyAlignment="1" applyProtection="1">
      <alignment horizontal="center" vertical="center"/>
    </xf>
    <xf numFmtId="171" fontId="8" fillId="0" borderId="63" xfId="0" applyNumberFormat="1" applyFont="1" applyBorder="1" applyAlignment="1" applyProtection="1">
      <alignment horizontal="right" vertical="center"/>
    </xf>
    <xf numFmtId="0" fontId="2" fillId="0" borderId="64" xfId="0" applyFont="1" applyBorder="1" applyAlignment="1">
      <alignment vertical="top"/>
    </xf>
    <xf numFmtId="0" fontId="0" fillId="0" borderId="64" xfId="0" applyBorder="1" applyAlignment="1">
      <alignment vertical="center"/>
    </xf>
    <xf numFmtId="0" fontId="0" fillId="0" borderId="64" xfId="0" applyBorder="1" applyAlignment="1">
      <alignment horizontal="left" vertical="top"/>
    </xf>
    <xf numFmtId="0" fontId="0" fillId="0" borderId="64" xfId="0" applyBorder="1" applyAlignment="1">
      <alignment horizontal="right" vertical="top"/>
    </xf>
    <xf numFmtId="0" fontId="8" fillId="8" borderId="24" xfId="0" applyFont="1" applyFill="1" applyBorder="1" applyAlignment="1" applyProtection="1">
      <alignment vertical="center"/>
    </xf>
    <xf numFmtId="170" fontId="8" fillId="3" borderId="58" xfId="0" applyNumberFormat="1" applyFont="1" applyFill="1" applyBorder="1" applyAlignment="1" applyProtection="1">
      <alignment vertical="center"/>
    </xf>
    <xf numFmtId="0" fontId="73" fillId="0" borderId="0" xfId="0" applyFont="1" applyAlignment="1" applyProtection="1">
      <alignment vertical="center"/>
    </xf>
    <xf numFmtId="0" fontId="12" fillId="0" borderId="0" xfId="0" applyFont="1" applyAlignment="1" applyProtection="1">
      <alignment vertical="center"/>
    </xf>
    <xf numFmtId="0" fontId="12" fillId="0" borderId="0" xfId="0" applyFont="1"/>
    <xf numFmtId="0" fontId="6" fillId="0" borderId="0" xfId="0" applyFont="1" applyAlignment="1" applyProtection="1">
      <alignment horizontal="right" vertical="center"/>
    </xf>
    <xf numFmtId="0" fontId="6" fillId="4" borderId="0" xfId="0" applyFont="1" applyFill="1" applyBorder="1" applyAlignment="1" applyProtection="1">
      <alignment horizontal="right" vertical="center"/>
    </xf>
    <xf numFmtId="0" fontId="8" fillId="4" borderId="0" xfId="0" applyFont="1" applyFill="1" applyAlignment="1" applyProtection="1">
      <alignment horizontal="center" vertical="center"/>
    </xf>
    <xf numFmtId="0" fontId="12" fillId="4" borderId="0" xfId="0" applyFont="1" applyFill="1" applyAlignment="1" applyProtection="1">
      <alignment vertical="center"/>
    </xf>
    <xf numFmtId="0" fontId="8" fillId="0" borderId="0" xfId="0" applyFont="1" applyAlignment="1" applyProtection="1">
      <alignment horizontal="right" vertical="center"/>
    </xf>
    <xf numFmtId="0" fontId="74" fillId="4" borderId="0" xfId="0" applyFont="1" applyFill="1" applyAlignment="1" applyProtection="1">
      <alignment horizontal="left" vertical="center"/>
    </xf>
    <xf numFmtId="0" fontId="7" fillId="4" borderId="0" xfId="0" applyFont="1" applyFill="1" applyAlignment="1" applyProtection="1">
      <alignment horizontal="center" vertical="center"/>
    </xf>
    <xf numFmtId="0" fontId="74" fillId="0" borderId="0" xfId="0" applyFont="1" applyAlignment="1" applyProtection="1">
      <alignment vertical="center"/>
    </xf>
    <xf numFmtId="0" fontId="7" fillId="0" borderId="0" xfId="0" applyFont="1" applyAlignment="1" applyProtection="1">
      <alignment vertical="center"/>
    </xf>
    <xf numFmtId="0" fontId="7" fillId="0" borderId="0" xfId="0" applyFont="1" applyAlignment="1" applyProtection="1">
      <alignment horizontal="right" vertical="center"/>
    </xf>
    <xf numFmtId="14" fontId="74" fillId="0" borderId="0" xfId="0" applyNumberFormat="1" applyFont="1" applyAlignment="1" applyProtection="1">
      <alignment vertical="center"/>
    </xf>
    <xf numFmtId="14" fontId="8" fillId="0" borderId="0" xfId="0" applyNumberFormat="1" applyFont="1" applyAlignment="1" applyProtection="1">
      <alignment horizontal="left" vertical="center"/>
    </xf>
    <xf numFmtId="0" fontId="12" fillId="0" borderId="4" xfId="0" applyFont="1" applyBorder="1" applyAlignment="1" applyProtection="1">
      <alignment vertical="center"/>
    </xf>
    <xf numFmtId="0" fontId="12" fillId="0" borderId="4" xfId="0" applyFont="1" applyBorder="1" applyProtection="1"/>
    <xf numFmtId="0" fontId="8" fillId="0" borderId="5" xfId="8" applyFont="1" applyBorder="1" applyAlignment="1" applyProtection="1">
      <alignment horizontal="left" vertical="center"/>
    </xf>
    <xf numFmtId="183" fontId="8" fillId="4" borderId="5" xfId="8" applyNumberFormat="1" applyFont="1" applyFill="1" applyBorder="1" applyAlignment="1" applyProtection="1">
      <alignment vertical="center"/>
    </xf>
    <xf numFmtId="0" fontId="12" fillId="0" borderId="0" xfId="0" applyFont="1" applyBorder="1" applyAlignment="1" applyProtection="1">
      <alignment vertical="center"/>
    </xf>
    <xf numFmtId="0" fontId="6" fillId="0" borderId="0" xfId="0" applyFont="1" applyAlignment="1" applyProtection="1">
      <alignment vertical="center"/>
    </xf>
    <xf numFmtId="0" fontId="12" fillId="0" borderId="0" xfId="0" applyFont="1" applyProtection="1"/>
    <xf numFmtId="180" fontId="8" fillId="0" borderId="65" xfId="0" applyNumberFormat="1" applyFont="1" applyBorder="1" applyAlignment="1" applyProtection="1">
      <alignment horizontal="right" vertical="center"/>
    </xf>
    <xf numFmtId="0" fontId="8" fillId="4" borderId="0" xfId="0" applyFont="1" applyFill="1" applyBorder="1" applyAlignment="1" applyProtection="1">
      <alignment horizontal="center" vertical="center"/>
    </xf>
    <xf numFmtId="0" fontId="12" fillId="0" borderId="5" xfId="0" applyFont="1" applyBorder="1"/>
    <xf numFmtId="2" fontId="6" fillId="0" borderId="0" xfId="8" applyNumberFormat="1" applyFont="1" applyBorder="1" applyAlignment="1" applyProtection="1">
      <alignment vertical="center"/>
    </xf>
    <xf numFmtId="0" fontId="12" fillId="0" borderId="24" xfId="0" applyFont="1" applyBorder="1"/>
    <xf numFmtId="0" fontId="12" fillId="0" borderId="11" xfId="0" applyFont="1" applyBorder="1"/>
    <xf numFmtId="0" fontId="12" fillId="0" borderId="34" xfId="0" applyFont="1" applyBorder="1"/>
    <xf numFmtId="0" fontId="12" fillId="0" borderId="0" xfId="0" applyFont="1" applyAlignment="1">
      <alignment vertical="center"/>
    </xf>
    <xf numFmtId="0" fontId="8" fillId="8" borderId="11" xfId="0" applyFont="1" applyFill="1" applyBorder="1" applyAlignment="1" applyProtection="1">
      <alignment vertical="center"/>
    </xf>
    <xf numFmtId="0" fontId="8" fillId="8" borderId="34" xfId="0" applyFont="1" applyFill="1" applyBorder="1" applyAlignment="1" applyProtection="1">
      <alignment vertical="center"/>
    </xf>
    <xf numFmtId="0" fontId="8" fillId="0" borderId="13" xfId="0" applyFont="1" applyBorder="1" applyAlignment="1" applyProtection="1">
      <alignment vertical="center"/>
    </xf>
    <xf numFmtId="0" fontId="8" fillId="0" borderId="12" xfId="0" applyFont="1" applyBorder="1" applyAlignment="1" applyProtection="1">
      <alignment vertical="center"/>
    </xf>
    <xf numFmtId="0" fontId="69" fillId="0" borderId="0" xfId="0" applyFont="1"/>
    <xf numFmtId="0" fontId="8" fillId="0" borderId="6" xfId="0" applyFont="1" applyBorder="1" applyAlignment="1" applyProtection="1">
      <alignment vertical="center"/>
    </xf>
    <xf numFmtId="0" fontId="12" fillId="0" borderId="5" xfId="0" applyFont="1" applyBorder="1" applyAlignment="1" applyProtection="1">
      <alignment vertical="center"/>
    </xf>
    <xf numFmtId="0" fontId="8" fillId="0" borderId="34" xfId="0" applyFont="1" applyBorder="1" applyAlignment="1" applyProtection="1">
      <alignment vertical="center"/>
    </xf>
    <xf numFmtId="0" fontId="12" fillId="0" borderId="2" xfId="0" applyFont="1" applyBorder="1"/>
    <xf numFmtId="170" fontId="12" fillId="0" borderId="24" xfId="0" applyNumberFormat="1" applyFont="1" applyBorder="1"/>
    <xf numFmtId="180" fontId="12" fillId="0" borderId="11" xfId="0" applyNumberFormat="1" applyFont="1" applyBorder="1"/>
    <xf numFmtId="180" fontId="12" fillId="0" borderId="34" xfId="0" applyNumberFormat="1" applyFont="1" applyBorder="1"/>
    <xf numFmtId="0" fontId="12" fillId="0" borderId="10" xfId="0" applyFont="1" applyBorder="1"/>
    <xf numFmtId="0" fontId="12" fillId="0" borderId="4" xfId="0" applyFont="1" applyBorder="1"/>
    <xf numFmtId="0" fontId="12" fillId="0" borderId="13" xfId="0" applyFont="1" applyBorder="1"/>
    <xf numFmtId="0" fontId="12" fillId="0" borderId="3" xfId="0" applyFont="1" applyBorder="1"/>
    <xf numFmtId="0" fontId="12" fillId="0" borderId="6" xfId="0" applyFont="1" applyBorder="1"/>
    <xf numFmtId="0" fontId="75" fillId="5" borderId="66" xfId="0" applyFont="1" applyFill="1" applyBorder="1" applyAlignment="1" applyProtection="1">
      <alignment horizontal="centerContinuous" vertical="center"/>
    </xf>
    <xf numFmtId="0" fontId="75" fillId="5" borderId="67" xfId="0" applyFont="1" applyFill="1" applyBorder="1" applyAlignment="1" applyProtection="1">
      <alignment horizontal="centerContinuous" vertical="center"/>
    </xf>
    <xf numFmtId="0" fontId="75" fillId="5" borderId="68" xfId="0" applyFont="1" applyFill="1" applyBorder="1" applyAlignment="1" applyProtection="1">
      <alignment horizontal="centerContinuous" vertical="center"/>
    </xf>
    <xf numFmtId="0" fontId="76" fillId="0" borderId="59" xfId="0" applyFont="1" applyBorder="1" applyAlignment="1" applyProtection="1">
      <alignment horizontal="left" vertical="center"/>
    </xf>
    <xf numFmtId="0" fontId="12" fillId="0" borderId="1" xfId="0" applyFont="1" applyBorder="1" applyProtection="1"/>
    <xf numFmtId="0" fontId="12" fillId="3" borderId="58" xfId="0" applyFont="1" applyFill="1" applyBorder="1" applyProtection="1"/>
    <xf numFmtId="0" fontId="12" fillId="0" borderId="59" xfId="0" applyFont="1" applyBorder="1" applyProtection="1"/>
    <xf numFmtId="0" fontId="12" fillId="0" borderId="58" xfId="0" applyFont="1" applyBorder="1" applyProtection="1"/>
    <xf numFmtId="170" fontId="6" fillId="0" borderId="69" xfId="0" applyNumberFormat="1" applyFont="1" applyFill="1" applyBorder="1" applyAlignment="1" applyProtection="1">
      <alignment vertical="center"/>
    </xf>
    <xf numFmtId="0" fontId="6" fillId="0" borderId="69" xfId="0" applyFont="1" applyBorder="1" applyAlignment="1" applyProtection="1">
      <alignment vertical="center"/>
    </xf>
    <xf numFmtId="170" fontId="6" fillId="0" borderId="70" xfId="0" applyNumberFormat="1" applyFont="1" applyFill="1" applyBorder="1" applyAlignment="1" applyProtection="1">
      <alignment vertical="center"/>
    </xf>
    <xf numFmtId="0" fontId="12" fillId="0" borderId="0" xfId="0" applyFont="1" applyBorder="1"/>
    <xf numFmtId="0" fontId="12" fillId="0" borderId="12" xfId="0" applyFont="1" applyBorder="1"/>
    <xf numFmtId="0" fontId="8" fillId="0" borderId="4" xfId="0" applyFont="1" applyBorder="1" applyAlignment="1" applyProtection="1">
      <alignment horizontal="right" vertical="center"/>
    </xf>
    <xf numFmtId="0" fontId="8" fillId="0" borderId="5" xfId="0" applyFont="1" applyBorder="1" applyAlignment="1" applyProtection="1">
      <alignment horizontal="right" vertical="center"/>
    </xf>
    <xf numFmtId="0" fontId="8" fillId="0" borderId="20" xfId="0" applyFont="1" applyBorder="1" applyAlignment="1" applyProtection="1">
      <alignment horizontal="left" vertical="center" wrapText="1"/>
    </xf>
    <xf numFmtId="0" fontId="8" fillId="0" borderId="23" xfId="0" applyFont="1" applyBorder="1" applyAlignment="1" applyProtection="1">
      <alignment horizontal="left" vertical="center"/>
    </xf>
    <xf numFmtId="0" fontId="77" fillId="0" borderId="2" xfId="0" applyFont="1" applyBorder="1" applyAlignment="1" applyProtection="1">
      <alignment vertical="center"/>
    </xf>
    <xf numFmtId="0" fontId="77" fillId="0" borderId="23" xfId="0" applyFont="1" applyBorder="1" applyAlignment="1" applyProtection="1">
      <alignment horizontal="left" vertical="center"/>
    </xf>
    <xf numFmtId="0" fontId="8" fillId="0" borderId="33" xfId="0" applyFont="1" applyBorder="1" applyAlignment="1" applyProtection="1">
      <alignment horizontal="left" vertical="center"/>
    </xf>
    <xf numFmtId="0" fontId="8" fillId="4" borderId="0" xfId="0" applyFont="1" applyFill="1" applyBorder="1" applyAlignment="1" applyProtection="1">
      <alignment horizontal="right" vertical="center"/>
    </xf>
    <xf numFmtId="0" fontId="27" fillId="4" borderId="0" xfId="0" applyFont="1" applyFill="1" applyBorder="1" applyAlignment="1" applyProtection="1">
      <alignment horizontal="right" vertical="center"/>
    </xf>
    <xf numFmtId="0" fontId="20" fillId="0" borderId="11" xfId="0" applyFont="1" applyBorder="1" applyAlignment="1" applyProtection="1">
      <alignment vertical="center"/>
    </xf>
    <xf numFmtId="0" fontId="20" fillId="0" borderId="0" xfId="8" applyFont="1" applyBorder="1" applyAlignment="1" applyProtection="1">
      <alignment vertical="center"/>
    </xf>
    <xf numFmtId="0" fontId="20" fillId="0" borderId="4" xfId="8" applyFont="1" applyBorder="1" applyAlignment="1" applyProtection="1">
      <alignment vertical="center"/>
    </xf>
    <xf numFmtId="0" fontId="27" fillId="0" borderId="0" xfId="0" applyFont="1" applyBorder="1" applyAlignment="1" applyProtection="1">
      <alignment vertical="center"/>
    </xf>
    <xf numFmtId="0" fontId="65" fillId="0" borderId="0" xfId="4" applyBorder="1" applyAlignment="1" applyProtection="1">
      <alignment horizontal="right" vertical="center"/>
    </xf>
    <xf numFmtId="0" fontId="78" fillId="9" borderId="0" xfId="0" applyFont="1" applyFill="1" applyAlignment="1" applyProtection="1">
      <alignment horizontal="center" vertical="center"/>
    </xf>
    <xf numFmtId="194" fontId="0" fillId="0" borderId="0" xfId="0" applyNumberFormat="1" applyProtection="1"/>
    <xf numFmtId="1" fontId="23" fillId="0" borderId="0" xfId="0" applyNumberFormat="1" applyFont="1" applyAlignment="1" applyProtection="1">
      <alignment vertical="center"/>
    </xf>
    <xf numFmtId="46" fontId="15" fillId="0" borderId="0" xfId="0" applyNumberFormat="1" applyFont="1" applyAlignment="1" applyProtection="1">
      <alignment vertical="center"/>
    </xf>
    <xf numFmtId="0" fontId="23" fillId="0" borderId="13" xfId="0" applyFont="1" applyBorder="1" applyAlignment="1" applyProtection="1">
      <alignment horizontal="right" vertical="center"/>
    </xf>
    <xf numFmtId="0" fontId="23" fillId="0" borderId="20" xfId="0" applyFont="1" applyBorder="1" applyAlignment="1" applyProtection="1">
      <alignment vertical="center"/>
    </xf>
    <xf numFmtId="9" fontId="23" fillId="3" borderId="1" xfId="0" applyNumberFormat="1" applyFont="1" applyFill="1" applyBorder="1" applyAlignment="1" applyProtection="1">
      <alignment horizontal="left" vertical="center"/>
    </xf>
    <xf numFmtId="0" fontId="23" fillId="0" borderId="20" xfId="0" applyFont="1" applyBorder="1" applyAlignment="1" applyProtection="1">
      <alignment horizontal="right" vertical="center"/>
    </xf>
    <xf numFmtId="9" fontId="23" fillId="10" borderId="1" xfId="0" applyNumberFormat="1" applyFont="1" applyFill="1" applyBorder="1" applyAlignment="1" applyProtection="1">
      <alignment horizontal="right" vertical="center"/>
    </xf>
    <xf numFmtId="9" fontId="23" fillId="10" borderId="34" xfId="0" applyNumberFormat="1" applyFont="1" applyFill="1" applyBorder="1" applyAlignment="1" applyProtection="1">
      <alignment horizontal="right" vertical="center"/>
    </xf>
    <xf numFmtId="0" fontId="20" fillId="0" borderId="0" xfId="0" applyFont="1" applyBorder="1" applyAlignment="1" applyProtection="1">
      <alignment horizontal="right" vertical="top"/>
    </xf>
    <xf numFmtId="0" fontId="52" fillId="0" borderId="0" xfId="8" applyFont="1" applyBorder="1" applyAlignment="1" applyProtection="1">
      <alignment vertical="center"/>
    </xf>
    <xf numFmtId="0" fontId="22" fillId="0" borderId="0" xfId="0" applyFont="1" applyBorder="1" applyAlignment="1">
      <alignment vertical="top"/>
    </xf>
    <xf numFmtId="0" fontId="20" fillId="0" borderId="5" xfId="0" applyFont="1" applyBorder="1" applyAlignment="1" applyProtection="1">
      <alignment vertical="center"/>
    </xf>
    <xf numFmtId="0" fontId="65" fillId="0" borderId="0" xfId="4" applyBorder="1" applyAlignment="1" applyProtection="1">
      <alignment horizontal="left" vertical="center"/>
    </xf>
    <xf numFmtId="0" fontId="65" fillId="0" borderId="0" xfId="4" applyAlignment="1" applyProtection="1"/>
    <xf numFmtId="0" fontId="65" fillId="9" borderId="1" xfId="4" applyFill="1" applyBorder="1" applyAlignment="1" applyProtection="1">
      <alignment horizontal="left" vertical="center"/>
    </xf>
    <xf numFmtId="0" fontId="12" fillId="4" borderId="24" xfId="0" applyFont="1" applyFill="1" applyBorder="1"/>
    <xf numFmtId="0" fontId="12" fillId="4" borderId="11" xfId="0" applyFont="1" applyFill="1" applyBorder="1"/>
    <xf numFmtId="0" fontId="8" fillId="11" borderId="13" xfId="0" applyFont="1" applyFill="1" applyBorder="1" applyAlignment="1" applyProtection="1">
      <alignment horizontal="centerContinuous" vertical="center"/>
    </xf>
    <xf numFmtId="0" fontId="25" fillId="11" borderId="6" xfId="0" applyFont="1" applyFill="1" applyBorder="1" applyAlignment="1" applyProtection="1">
      <alignment horizontal="centerContinuous" vertical="center"/>
    </xf>
    <xf numFmtId="3" fontId="18" fillId="11" borderId="42" xfId="7" applyNumberFormat="1" applyFont="1" applyFill="1" applyBorder="1" applyAlignment="1" applyProtection="1">
      <alignment horizontal="right" vertical="center"/>
    </xf>
    <xf numFmtId="0" fontId="1" fillId="11" borderId="12" xfId="0" applyFont="1" applyFill="1" applyBorder="1" applyAlignment="1" applyProtection="1">
      <alignment horizontal="right" vertical="center"/>
    </xf>
    <xf numFmtId="3" fontId="19" fillId="11" borderId="42" xfId="7" applyNumberFormat="1" applyFont="1" applyFill="1" applyBorder="1" applyAlignment="1" applyProtection="1">
      <alignment horizontal="center" vertical="center"/>
    </xf>
    <xf numFmtId="0" fontId="1" fillId="11" borderId="12" xfId="0" applyFont="1" applyFill="1" applyBorder="1" applyAlignment="1" applyProtection="1">
      <alignment horizontal="center" vertical="center"/>
    </xf>
    <xf numFmtId="3" fontId="18" fillId="11" borderId="42" xfId="7" applyNumberFormat="1" applyFont="1" applyFill="1" applyBorder="1" applyAlignment="1" applyProtection="1">
      <alignment horizontal="center" vertical="center"/>
    </xf>
    <xf numFmtId="166" fontId="6" fillId="11" borderId="10" xfId="0" applyNumberFormat="1" applyFont="1" applyFill="1" applyBorder="1" applyAlignment="1" applyProtection="1">
      <alignment horizontal="right" vertical="center"/>
    </xf>
    <xf numFmtId="180" fontId="6" fillId="11" borderId="13" xfId="0" applyNumberFormat="1" applyFont="1" applyFill="1" applyBorder="1" applyAlignment="1" applyProtection="1">
      <alignment horizontal="right" vertical="center"/>
    </xf>
    <xf numFmtId="2" fontId="15" fillId="11" borderId="3" xfId="0" applyNumberFormat="1" applyFont="1" applyFill="1" applyBorder="1" applyAlignment="1">
      <alignment vertical="center"/>
    </xf>
    <xf numFmtId="169" fontId="15" fillId="11" borderId="5" xfId="0" applyNumberFormat="1" applyFont="1" applyFill="1" applyBorder="1" applyAlignment="1" applyProtection="1">
      <alignment horizontal="right" vertical="center"/>
    </xf>
    <xf numFmtId="1" fontId="6" fillId="11" borderId="2" xfId="0" applyNumberFormat="1" applyFont="1" applyFill="1" applyBorder="1" applyAlignment="1" applyProtection="1">
      <alignment horizontal="right" vertical="center"/>
    </xf>
    <xf numFmtId="0" fontId="0" fillId="11" borderId="0" xfId="0" applyFill="1" applyBorder="1" applyAlignment="1" applyProtection="1">
      <alignment vertical="center"/>
    </xf>
    <xf numFmtId="180" fontId="6" fillId="11" borderId="12" xfId="0" applyNumberFormat="1" applyFont="1" applyFill="1" applyBorder="1" applyAlignment="1" applyProtection="1">
      <alignment horizontal="right" vertical="center"/>
    </xf>
    <xf numFmtId="168" fontId="15" fillId="11" borderId="12" xfId="7" applyNumberFormat="1" applyFont="1" applyFill="1" applyBorder="1" applyAlignment="1" applyProtection="1">
      <alignment horizontal="right" vertical="center"/>
    </xf>
    <xf numFmtId="0" fontId="25" fillId="11" borderId="12" xfId="0" applyFont="1" applyFill="1" applyBorder="1" applyAlignment="1" applyProtection="1">
      <alignment horizontal="right" vertical="center"/>
    </xf>
    <xf numFmtId="170" fontId="15" fillId="11" borderId="12" xfId="7" applyNumberFormat="1" applyFont="1" applyFill="1" applyBorder="1" applyAlignment="1" applyProtection="1">
      <alignment horizontal="right" vertical="center"/>
    </xf>
    <xf numFmtId="4" fontId="8" fillId="11" borderId="2" xfId="7" applyNumberFormat="1" applyFont="1" applyFill="1" applyBorder="1" applyAlignment="1" applyProtection="1">
      <alignment horizontal="center" vertical="center"/>
    </xf>
    <xf numFmtId="0" fontId="25" fillId="11" borderId="0" xfId="0" applyFont="1" applyFill="1" applyBorder="1" applyAlignment="1" applyProtection="1">
      <alignment horizontal="right" vertical="center"/>
    </xf>
    <xf numFmtId="3" fontId="8" fillId="11" borderId="2" xfId="7" applyNumberFormat="1" applyFont="1" applyFill="1" applyBorder="1" applyAlignment="1" applyProtection="1">
      <alignment horizontal="center" vertical="center"/>
    </xf>
    <xf numFmtId="0" fontId="0" fillId="11" borderId="2" xfId="0" applyFill="1" applyBorder="1"/>
    <xf numFmtId="172" fontId="6" fillId="11" borderId="10" xfId="7" applyNumberFormat="1" applyFont="1" applyFill="1" applyBorder="1" applyAlignment="1" applyProtection="1">
      <alignment vertical="center"/>
    </xf>
    <xf numFmtId="180" fontId="6" fillId="11" borderId="13" xfId="7" applyNumberFormat="1" applyFont="1" applyFill="1" applyBorder="1" applyAlignment="1" applyProtection="1">
      <alignment horizontal="right" vertical="center"/>
    </xf>
    <xf numFmtId="180" fontId="6" fillId="11" borderId="12" xfId="7" applyNumberFormat="1" applyFont="1" applyFill="1" applyBorder="1" applyAlignment="1" applyProtection="1">
      <alignment horizontal="right" vertical="center"/>
    </xf>
    <xf numFmtId="172" fontId="8" fillId="11" borderId="10" xfId="0" applyNumberFormat="1" applyFont="1" applyFill="1" applyBorder="1" applyAlignment="1" applyProtection="1">
      <alignment vertical="center"/>
    </xf>
    <xf numFmtId="170" fontId="15" fillId="11" borderId="0" xfId="7" applyNumberFormat="1" applyFont="1" applyFill="1" applyBorder="1" applyAlignment="1" applyProtection="1">
      <alignment horizontal="right" vertical="center"/>
    </xf>
    <xf numFmtId="172" fontId="6" fillId="11" borderId="16" xfId="0" applyNumberFormat="1" applyFont="1" applyFill="1" applyBorder="1" applyAlignment="1" applyProtection="1">
      <alignment horizontal="right" vertical="center"/>
    </xf>
    <xf numFmtId="180" fontId="6" fillId="11" borderId="15" xfId="7" applyNumberFormat="1" applyFont="1" applyFill="1" applyBorder="1" applyAlignment="1" applyProtection="1">
      <alignment horizontal="right" vertical="center"/>
    </xf>
    <xf numFmtId="0" fontId="15" fillId="11" borderId="71" xfId="8" applyFont="1" applyFill="1" applyBorder="1" applyAlignment="1" applyProtection="1">
      <alignment horizontal="right" vertical="center"/>
    </xf>
    <xf numFmtId="170" fontId="15" fillId="11" borderId="39" xfId="0" applyNumberFormat="1" applyFont="1" applyFill="1" applyBorder="1" applyAlignment="1" applyProtection="1">
      <alignment horizontal="right" vertical="center"/>
    </xf>
    <xf numFmtId="170" fontId="15" fillId="11" borderId="0" xfId="0" applyNumberFormat="1" applyFont="1" applyFill="1" applyBorder="1" applyAlignment="1" applyProtection="1">
      <alignment horizontal="right" vertical="center"/>
    </xf>
    <xf numFmtId="177" fontId="15" fillId="11" borderId="10" xfId="0" applyNumberFormat="1" applyFont="1" applyFill="1" applyBorder="1" applyAlignment="1" applyProtection="1">
      <alignment horizontal="right" vertical="center"/>
    </xf>
    <xf numFmtId="0" fontId="25" fillId="11" borderId="10" xfId="0" applyFont="1" applyFill="1" applyBorder="1" applyAlignment="1" applyProtection="1">
      <alignment vertical="center"/>
    </xf>
    <xf numFmtId="170" fontId="15" fillId="11" borderId="5" xfId="7" applyNumberFormat="1" applyFont="1" applyFill="1" applyBorder="1" applyAlignment="1" applyProtection="1">
      <alignment vertical="center"/>
    </xf>
    <xf numFmtId="180" fontId="15" fillId="11" borderId="2" xfId="0" applyNumberFormat="1" applyFont="1" applyFill="1" applyBorder="1" applyAlignment="1" applyProtection="1">
      <alignment horizontal="right" vertical="center"/>
    </xf>
    <xf numFmtId="180" fontId="25" fillId="11" borderId="6" xfId="7" applyNumberFormat="1" applyFont="1" applyFill="1" applyBorder="1" applyAlignment="1" applyProtection="1">
      <alignment horizontal="right" vertical="center"/>
    </xf>
    <xf numFmtId="2" fontId="15" fillId="11" borderId="2" xfId="0" applyNumberFormat="1" applyFont="1" applyFill="1" applyBorder="1" applyAlignment="1" applyProtection="1">
      <alignment vertical="center"/>
    </xf>
    <xf numFmtId="169" fontId="15" fillId="11" borderId="0" xfId="0" applyNumberFormat="1" applyFont="1" applyFill="1" applyBorder="1" applyAlignment="1" applyProtection="1">
      <alignment vertical="center"/>
    </xf>
    <xf numFmtId="170" fontId="15" fillId="11" borderId="0" xfId="0" applyNumberFormat="1" applyFont="1" applyFill="1" applyBorder="1" applyAlignment="1" applyProtection="1">
      <alignment vertical="center"/>
    </xf>
    <xf numFmtId="181" fontId="15" fillId="11" borderId="2" xfId="0" applyNumberFormat="1" applyFont="1" applyFill="1" applyBorder="1" applyAlignment="1" applyProtection="1">
      <alignment horizontal="right" vertical="center"/>
    </xf>
    <xf numFmtId="172" fontId="13" fillId="11" borderId="34" xfId="7" applyNumberFormat="1" applyFont="1" applyFill="1" applyBorder="1" applyAlignment="1" applyProtection="1">
      <alignment horizontal="centerContinuous" vertical="center"/>
    </xf>
    <xf numFmtId="180" fontId="8" fillId="11" borderId="65" xfId="0" applyNumberFormat="1" applyFont="1" applyFill="1" applyBorder="1" applyAlignment="1" applyProtection="1">
      <alignment horizontal="right" vertical="center"/>
    </xf>
    <xf numFmtId="171" fontId="6" fillId="11" borderId="23" xfId="0" applyNumberFormat="1" applyFont="1" applyFill="1" applyBorder="1" applyAlignment="1">
      <alignment vertical="center"/>
    </xf>
    <xf numFmtId="172" fontId="8" fillId="11" borderId="23" xfId="0" applyNumberFormat="1" applyFont="1" applyFill="1" applyBorder="1" applyAlignment="1">
      <alignment vertical="center"/>
    </xf>
    <xf numFmtId="172" fontId="13" fillId="11" borderId="23" xfId="7" applyNumberFormat="1" applyFont="1" applyFill="1" applyBorder="1" applyAlignment="1">
      <alignment vertical="center"/>
    </xf>
    <xf numFmtId="172" fontId="6" fillId="11" borderId="23" xfId="0" applyNumberFormat="1" applyFont="1" applyFill="1" applyBorder="1" applyAlignment="1">
      <alignment vertical="center"/>
    </xf>
    <xf numFmtId="0" fontId="0" fillId="11" borderId="10" xfId="0" applyFill="1" applyBorder="1"/>
    <xf numFmtId="172" fontId="6" fillId="11" borderId="23" xfId="7" applyNumberFormat="1" applyFont="1" applyFill="1" applyBorder="1" applyAlignment="1">
      <alignment vertical="center"/>
    </xf>
    <xf numFmtId="172" fontId="8" fillId="11" borderId="33" xfId="0" applyNumberFormat="1" applyFont="1" applyFill="1" applyBorder="1" applyAlignment="1">
      <alignment vertical="center"/>
    </xf>
    <xf numFmtId="187" fontId="13" fillId="11" borderId="1" xfId="0" applyNumberFormat="1" applyFont="1" applyFill="1" applyBorder="1" applyAlignment="1">
      <alignment vertical="center"/>
    </xf>
    <xf numFmtId="187" fontId="13" fillId="11" borderId="23" xfId="0" applyNumberFormat="1" applyFont="1" applyFill="1" applyBorder="1" applyAlignment="1">
      <alignment vertical="center"/>
    </xf>
    <xf numFmtId="171" fontId="6" fillId="11" borderId="20" xfId="0" applyNumberFormat="1" applyFont="1" applyFill="1" applyBorder="1" applyAlignment="1">
      <alignment vertical="center"/>
    </xf>
    <xf numFmtId="172" fontId="6" fillId="11" borderId="33" xfId="0" applyNumberFormat="1" applyFont="1" applyFill="1" applyBorder="1" applyAlignment="1">
      <alignment vertical="center"/>
    </xf>
    <xf numFmtId="171" fontId="6" fillId="11" borderId="33" xfId="0" applyNumberFormat="1" applyFont="1" applyFill="1" applyBorder="1" applyAlignment="1">
      <alignment vertical="center"/>
    </xf>
    <xf numFmtId="0" fontId="0" fillId="11" borderId="0" xfId="0" applyFill="1" applyBorder="1" applyAlignment="1">
      <alignment vertical="center"/>
    </xf>
    <xf numFmtId="0" fontId="8" fillId="11" borderId="0" xfId="8" applyFont="1" applyFill="1" applyBorder="1" applyAlignment="1" applyProtection="1">
      <alignment vertical="center"/>
    </xf>
    <xf numFmtId="0" fontId="11" fillId="11" borderId="0" xfId="8" applyFont="1" applyFill="1" applyBorder="1" applyAlignment="1" applyProtection="1">
      <alignment vertical="center"/>
    </xf>
    <xf numFmtId="0" fontId="12" fillId="11" borderId="0" xfId="0" applyFont="1" applyFill="1" applyBorder="1" applyAlignment="1">
      <alignment vertical="center"/>
    </xf>
    <xf numFmtId="0" fontId="5" fillId="11" borderId="2" xfId="8" applyFont="1" applyFill="1" applyBorder="1" applyAlignment="1" applyProtection="1">
      <alignment vertical="center"/>
    </xf>
    <xf numFmtId="0" fontId="5" fillId="11" borderId="0" xfId="8" applyFont="1" applyFill="1" applyBorder="1" applyAlignment="1" applyProtection="1">
      <alignment vertical="center"/>
    </xf>
    <xf numFmtId="0" fontId="12" fillId="11" borderId="0" xfId="8" applyFont="1" applyFill="1" applyBorder="1" applyAlignment="1" applyProtection="1">
      <alignment horizontal="right" vertical="center"/>
    </xf>
    <xf numFmtId="0" fontId="12" fillId="11" borderId="12" xfId="8" applyFont="1" applyFill="1" applyBorder="1" applyAlignment="1" applyProtection="1">
      <alignment vertical="center"/>
    </xf>
    <xf numFmtId="0" fontId="12" fillId="11" borderId="0" xfId="8" applyFont="1" applyFill="1" applyBorder="1" applyAlignment="1" applyProtection="1">
      <alignment vertical="center"/>
    </xf>
    <xf numFmtId="0" fontId="11" fillId="11" borderId="4" xfId="8" applyFont="1" applyFill="1" applyBorder="1" applyAlignment="1" applyProtection="1">
      <alignment vertical="center"/>
    </xf>
    <xf numFmtId="0" fontId="12" fillId="11" borderId="4" xfId="8" applyFont="1" applyFill="1" applyBorder="1" applyAlignment="1" applyProtection="1">
      <alignment vertical="center"/>
    </xf>
    <xf numFmtId="0" fontId="11" fillId="11" borderId="5" xfId="8" applyFont="1" applyFill="1" applyBorder="1" applyAlignment="1" applyProtection="1">
      <alignment vertical="center"/>
    </xf>
    <xf numFmtId="0" fontId="12" fillId="11" borderId="5" xfId="0" applyFont="1" applyFill="1" applyBorder="1" applyAlignment="1">
      <alignment horizontal="right" vertical="center"/>
    </xf>
    <xf numFmtId="0" fontId="39" fillId="11" borderId="10" xfId="0" applyFont="1" applyFill="1" applyBorder="1" applyAlignment="1">
      <alignment vertical="center"/>
    </xf>
    <xf numFmtId="0" fontId="54" fillId="11" borderId="4" xfId="0" applyFont="1" applyFill="1" applyBorder="1" applyAlignment="1">
      <alignment vertical="center"/>
    </xf>
    <xf numFmtId="0" fontId="39" fillId="11" borderId="4" xfId="0" applyFont="1" applyFill="1" applyBorder="1" applyAlignment="1">
      <alignment vertical="center"/>
    </xf>
    <xf numFmtId="0" fontId="39" fillId="11" borderId="10" xfId="0" applyFont="1" applyFill="1" applyBorder="1" applyAlignment="1">
      <alignment horizontal="left" vertical="center"/>
    </xf>
    <xf numFmtId="0" fontId="39" fillId="11" borderId="13" xfId="0" applyFont="1" applyFill="1" applyBorder="1" applyAlignment="1">
      <alignment vertical="center"/>
    </xf>
    <xf numFmtId="3" fontId="54" fillId="11" borderId="4" xfId="0" applyNumberFormat="1" applyFont="1" applyFill="1" applyBorder="1" applyAlignment="1">
      <alignment vertical="center"/>
    </xf>
    <xf numFmtId="0" fontId="39" fillId="11" borderId="3" xfId="0" applyFont="1" applyFill="1" applyBorder="1" applyAlignment="1">
      <alignment vertical="center"/>
    </xf>
    <xf numFmtId="0" fontId="54" fillId="11" borderId="5" xfId="0" applyFont="1" applyFill="1" applyBorder="1" applyAlignment="1">
      <alignment vertical="center"/>
    </xf>
    <xf numFmtId="0" fontId="39" fillId="11" borderId="5" xfId="0" applyFont="1" applyFill="1" applyBorder="1" applyAlignment="1">
      <alignment vertical="center"/>
    </xf>
    <xf numFmtId="0" fontId="39" fillId="11" borderId="6" xfId="0" applyFont="1" applyFill="1" applyBorder="1" applyAlignment="1">
      <alignment vertical="center"/>
    </xf>
    <xf numFmtId="3" fontId="46" fillId="11" borderId="5" xfId="0" applyNumberFormat="1" applyFont="1" applyFill="1" applyBorder="1" applyAlignment="1">
      <alignment vertical="center"/>
    </xf>
    <xf numFmtId="3" fontId="39" fillId="11" borderId="6" xfId="0" applyNumberFormat="1" applyFont="1" applyFill="1" applyBorder="1" applyAlignment="1">
      <alignment vertical="center"/>
    </xf>
    <xf numFmtId="0" fontId="46" fillId="11" borderId="10" xfId="0" applyFont="1" applyFill="1" applyBorder="1" applyAlignment="1">
      <alignment vertical="center"/>
    </xf>
    <xf numFmtId="0" fontId="46" fillId="11" borderId="5" xfId="0" applyFont="1" applyFill="1" applyBorder="1" applyAlignment="1">
      <alignment vertical="center"/>
    </xf>
    <xf numFmtId="4" fontId="46" fillId="11" borderId="5" xfId="0" applyNumberFormat="1" applyFont="1" applyFill="1" applyBorder="1" applyAlignment="1">
      <alignment vertical="center"/>
    </xf>
    <xf numFmtId="0" fontId="27" fillId="11" borderId="0" xfId="0" applyFont="1" applyFill="1" applyBorder="1" applyAlignment="1">
      <alignment vertical="center"/>
    </xf>
    <xf numFmtId="0" fontId="39" fillId="11" borderId="0" xfId="0" applyFont="1" applyFill="1" applyBorder="1" applyAlignment="1">
      <alignment vertical="center"/>
    </xf>
    <xf numFmtId="0" fontId="42" fillId="11" borderId="13" xfId="0" applyFont="1" applyFill="1" applyBorder="1" applyAlignment="1">
      <alignment vertical="center"/>
    </xf>
    <xf numFmtId="3" fontId="27" fillId="11" borderId="0" xfId="0" applyNumberFormat="1" applyFont="1" applyFill="1" applyBorder="1" applyAlignment="1">
      <alignment vertical="center"/>
    </xf>
    <xf numFmtId="0" fontId="39" fillId="11" borderId="12" xfId="0" applyFont="1" applyFill="1" applyBorder="1" applyAlignment="1">
      <alignment vertical="center"/>
    </xf>
    <xf numFmtId="0" fontId="27" fillId="11" borderId="5" xfId="0" applyFont="1" applyFill="1" applyBorder="1" applyAlignment="1">
      <alignment vertical="center"/>
    </xf>
    <xf numFmtId="0" fontId="42" fillId="11" borderId="5" xfId="0" applyFont="1" applyFill="1" applyBorder="1" applyAlignment="1">
      <alignment vertical="center"/>
    </xf>
    <xf numFmtId="0" fontId="42" fillId="11" borderId="6" xfId="0" applyFont="1" applyFill="1" applyBorder="1" applyAlignment="1">
      <alignment vertical="center"/>
    </xf>
    <xf numFmtId="4" fontId="27" fillId="11" borderId="5" xfId="0" applyNumberFormat="1" applyFont="1" applyFill="1" applyBorder="1" applyAlignment="1">
      <alignment vertical="center"/>
    </xf>
    <xf numFmtId="0" fontId="5" fillId="11" borderId="2" xfId="8" applyFont="1" applyFill="1" applyBorder="1" applyAlignment="1" applyProtection="1">
      <alignment vertical="top"/>
    </xf>
    <xf numFmtId="0" fontId="5" fillId="11" borderId="0" xfId="8" applyFont="1" applyFill="1" applyBorder="1" applyAlignment="1" applyProtection="1">
      <alignment vertical="top"/>
    </xf>
    <xf numFmtId="0" fontId="12" fillId="11" borderId="0" xfId="8" applyFont="1" applyFill="1" applyBorder="1" applyAlignment="1" applyProtection="1">
      <alignment vertical="top"/>
    </xf>
    <xf numFmtId="0" fontId="12" fillId="11" borderId="12" xfId="8" applyFont="1" applyFill="1" applyBorder="1" applyAlignment="1" applyProtection="1">
      <alignment vertical="top"/>
    </xf>
    <xf numFmtId="0" fontId="11" fillId="11" borderId="5" xfId="8" applyFont="1" applyFill="1" applyBorder="1" applyAlignment="1" applyProtection="1">
      <alignment vertical="top"/>
    </xf>
    <xf numFmtId="180" fontId="15" fillId="11" borderId="23" xfId="0" applyNumberFormat="1" applyFont="1" applyFill="1" applyBorder="1"/>
    <xf numFmtId="178" fontId="15" fillId="11" borderId="23" xfId="0" applyNumberFormat="1" applyFont="1" applyFill="1" applyBorder="1"/>
    <xf numFmtId="3" fontId="15" fillId="11" borderId="23" xfId="0" applyNumberFormat="1" applyFont="1" applyFill="1" applyBorder="1"/>
    <xf numFmtId="171" fontId="15" fillId="11" borderId="33" xfId="0" applyNumberFormat="1" applyFont="1" applyFill="1" applyBorder="1"/>
    <xf numFmtId="3" fontId="17" fillId="11" borderId="11" xfId="0" applyNumberFormat="1" applyFont="1" applyFill="1" applyBorder="1" applyAlignment="1">
      <alignment horizontal="center"/>
    </xf>
    <xf numFmtId="180" fontId="15" fillId="11" borderId="0" xfId="0" applyNumberFormat="1" applyFont="1" applyFill="1"/>
    <xf numFmtId="178" fontId="15" fillId="11" borderId="0" xfId="0" applyNumberFormat="1" applyFont="1" applyFill="1"/>
    <xf numFmtId="178" fontId="15" fillId="11" borderId="12" xfId="0" applyNumberFormat="1" applyFont="1" applyFill="1" applyBorder="1"/>
    <xf numFmtId="180" fontId="15" fillId="11" borderId="12" xfId="0" applyNumberFormat="1" applyFont="1" applyFill="1" applyBorder="1"/>
    <xf numFmtId="179" fontId="15" fillId="11" borderId="12" xfId="0" applyNumberFormat="1" applyFont="1" applyFill="1" applyBorder="1"/>
    <xf numFmtId="0" fontId="82" fillId="9" borderId="0" xfId="0" applyFont="1" applyFill="1" applyAlignment="1" applyProtection="1">
      <alignment horizontal="center" vertical="center"/>
    </xf>
    <xf numFmtId="0" fontId="20" fillId="3" borderId="58" xfId="0" applyFont="1" applyFill="1" applyBorder="1" applyAlignment="1" applyProtection="1">
      <alignment horizontal="center" vertical="center"/>
    </xf>
    <xf numFmtId="0" fontId="6" fillId="3" borderId="58" xfId="0" applyFont="1" applyFill="1" applyBorder="1" applyAlignment="1" applyProtection="1">
      <alignment horizontal="centerContinuous"/>
    </xf>
    <xf numFmtId="0" fontId="83" fillId="0" borderId="0" xfId="0" applyFont="1"/>
    <xf numFmtId="1" fontId="71" fillId="0" borderId="0" xfId="0" applyNumberFormat="1" applyFont="1"/>
    <xf numFmtId="166" fontId="0" fillId="0" borderId="0" xfId="0" applyNumberFormat="1" applyBorder="1"/>
    <xf numFmtId="0" fontId="0" fillId="9" borderId="12" xfId="0" applyFill="1" applyBorder="1"/>
    <xf numFmtId="166" fontId="34" fillId="11" borderId="23" xfId="0" applyNumberFormat="1" applyFont="1" applyFill="1" applyBorder="1"/>
    <xf numFmtId="166" fontId="0" fillId="0" borderId="0" xfId="0" applyNumberFormat="1"/>
    <xf numFmtId="2" fontId="0" fillId="0" borderId="0" xfId="0" applyNumberFormat="1"/>
    <xf numFmtId="166" fontId="34" fillId="9" borderId="23" xfId="0" applyNumberFormat="1" applyFont="1" applyFill="1" applyBorder="1"/>
    <xf numFmtId="166" fontId="0" fillId="0" borderId="23" xfId="0" applyNumberFormat="1" applyBorder="1"/>
    <xf numFmtId="0" fontId="84" fillId="11" borderId="1" xfId="0" applyFont="1" applyFill="1" applyBorder="1"/>
    <xf numFmtId="0" fontId="85" fillId="0" borderId="34" xfId="0" applyFont="1" applyBorder="1"/>
    <xf numFmtId="0" fontId="85" fillId="0" borderId="11" xfId="0" applyFont="1" applyBorder="1"/>
    <xf numFmtId="0" fontId="85" fillId="0" borderId="1" xfId="0" applyFont="1" applyBorder="1"/>
    <xf numFmtId="0" fontId="2" fillId="0" borderId="4" xfId="0" applyFont="1" applyBorder="1" applyAlignment="1" applyProtection="1">
      <alignment horizontal="left" vertical="center"/>
    </xf>
    <xf numFmtId="0" fontId="34" fillId="0" borderId="4" xfId="0" applyFont="1" applyBorder="1" applyAlignment="1" applyProtection="1">
      <alignment horizontal="left" vertical="center"/>
    </xf>
    <xf numFmtId="0" fontId="2" fillId="0" borderId="13" xfId="0" applyFont="1" applyBorder="1" applyAlignment="1" applyProtection="1">
      <alignment horizontal="left" vertical="center"/>
    </xf>
    <xf numFmtId="0" fontId="0" fillId="0" borderId="0" xfId="0" applyBorder="1" applyAlignment="1" applyProtection="1">
      <alignment horizontal="right" vertical="center"/>
    </xf>
    <xf numFmtId="0" fontId="15" fillId="11" borderId="10" xfId="0" applyFont="1" applyFill="1" applyBorder="1" applyAlignment="1" applyProtection="1">
      <alignment vertical="center"/>
    </xf>
    <xf numFmtId="180" fontId="17" fillId="11" borderId="2" xfId="0" applyNumberFormat="1" applyFont="1" applyFill="1" applyBorder="1" applyAlignment="1" applyProtection="1">
      <alignment vertical="center"/>
    </xf>
    <xf numFmtId="170" fontId="15" fillId="0" borderId="0" xfId="0" applyNumberFormat="1" applyFont="1" applyBorder="1" applyAlignment="1" applyProtection="1">
      <alignment vertical="center"/>
    </xf>
    <xf numFmtId="0" fontId="20" fillId="0" borderId="18" xfId="0" applyFont="1" applyBorder="1" applyAlignment="1" applyProtection="1">
      <alignment vertical="center"/>
    </xf>
    <xf numFmtId="0" fontId="21" fillId="0" borderId="0" xfId="0" applyFont="1" applyProtection="1"/>
    <xf numFmtId="0" fontId="52" fillId="0" borderId="0" xfId="0" applyFont="1" applyProtection="1"/>
    <xf numFmtId="0" fontId="5" fillId="0" borderId="0" xfId="0" applyFont="1" applyProtection="1"/>
    <xf numFmtId="0" fontId="20" fillId="0" borderId="0" xfId="0" applyFont="1" applyProtection="1"/>
    <xf numFmtId="0" fontId="36" fillId="3" borderId="72" xfId="0" applyFont="1" applyFill="1" applyBorder="1" applyAlignment="1" applyProtection="1">
      <alignment horizontal="centerContinuous" vertical="center"/>
    </xf>
    <xf numFmtId="0" fontId="30" fillId="3" borderId="0" xfId="0" applyFont="1" applyFill="1" applyBorder="1" applyAlignment="1" applyProtection="1">
      <alignment horizontal="centerContinuous" vertical="center"/>
    </xf>
    <xf numFmtId="0" fontId="29" fillId="3" borderId="0" xfId="0" applyFont="1" applyFill="1" applyBorder="1" applyAlignment="1" applyProtection="1">
      <alignment horizontal="centerContinuous" vertical="center"/>
    </xf>
    <xf numFmtId="0" fontId="27" fillId="3" borderId="0" xfId="0" applyFont="1" applyFill="1" applyBorder="1" applyAlignment="1" applyProtection="1">
      <alignment horizontal="centerContinuous" vertical="center"/>
    </xf>
    <xf numFmtId="17" fontId="28" fillId="3" borderId="0" xfId="0" applyNumberFormat="1" applyFont="1" applyFill="1" applyBorder="1" applyAlignment="1" applyProtection="1">
      <alignment horizontal="centerContinuous" vertical="center"/>
    </xf>
    <xf numFmtId="49" fontId="20" fillId="3" borderId="73" xfId="0" applyNumberFormat="1" applyFont="1" applyFill="1" applyBorder="1" applyAlignment="1" applyProtection="1">
      <alignment horizontal="centerContinuous" vertical="center"/>
    </xf>
    <xf numFmtId="0" fontId="36" fillId="3" borderId="74" xfId="0" applyFont="1" applyFill="1" applyBorder="1" applyAlignment="1" applyProtection="1">
      <alignment horizontal="centerContinuous" vertical="center"/>
    </xf>
    <xf numFmtId="0" fontId="30" fillId="3" borderId="75" xfId="0" applyFont="1" applyFill="1" applyBorder="1" applyAlignment="1" applyProtection="1">
      <alignment horizontal="centerContinuous" vertical="center"/>
    </xf>
    <xf numFmtId="0" fontId="29" fillId="3" borderId="75" xfId="0" applyFont="1" applyFill="1" applyBorder="1" applyAlignment="1" applyProtection="1">
      <alignment horizontal="centerContinuous" vertical="center"/>
    </xf>
    <xf numFmtId="0" fontId="27" fillId="3" borderId="75" xfId="0" applyFont="1" applyFill="1" applyBorder="1" applyAlignment="1" applyProtection="1">
      <alignment horizontal="centerContinuous" vertical="center"/>
    </xf>
    <xf numFmtId="17" fontId="28" fillId="3" borderId="75" xfId="0" applyNumberFormat="1" applyFont="1" applyFill="1" applyBorder="1" applyAlignment="1" applyProtection="1">
      <alignment horizontal="centerContinuous" vertical="center"/>
    </xf>
    <xf numFmtId="49" fontId="20" fillId="3" borderId="76" xfId="0" applyNumberFormat="1" applyFont="1" applyFill="1" applyBorder="1" applyAlignment="1" applyProtection="1">
      <alignment horizontal="centerContinuous" vertical="center"/>
    </xf>
    <xf numFmtId="0" fontId="41" fillId="3" borderId="72" xfId="0" applyFont="1" applyFill="1" applyBorder="1" applyAlignment="1" applyProtection="1">
      <alignment horizontal="centerContinuous" vertical="center"/>
    </xf>
    <xf numFmtId="0" fontId="72" fillId="3" borderId="0" xfId="0" applyFont="1" applyFill="1" applyBorder="1" applyAlignment="1" applyProtection="1">
      <alignment horizontal="centerContinuous" vertical="center"/>
    </xf>
    <xf numFmtId="0" fontId="35" fillId="9"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xf>
    <xf numFmtId="0" fontId="12" fillId="0" borderId="0" xfId="0" applyFont="1" applyFill="1" applyBorder="1"/>
    <xf numFmtId="0" fontId="8" fillId="0" borderId="0" xfId="0" applyFont="1" applyFill="1" applyBorder="1" applyAlignment="1" applyProtection="1">
      <alignment vertical="center"/>
    </xf>
    <xf numFmtId="0" fontId="8" fillId="0" borderId="0" xfId="0" applyFont="1" applyFill="1" applyBorder="1" applyAlignment="1" applyProtection="1">
      <alignment horizontal="right" vertical="center"/>
    </xf>
    <xf numFmtId="0" fontId="8" fillId="0" borderId="0" xfId="0" applyFont="1" applyFill="1" applyBorder="1" applyAlignment="1" applyProtection="1">
      <alignment horizontal="left" vertical="center"/>
    </xf>
    <xf numFmtId="0" fontId="8" fillId="0" borderId="2" xfId="0" applyFont="1" applyFill="1" applyBorder="1" applyAlignment="1" applyProtection="1">
      <alignment horizontal="right" vertical="center"/>
    </xf>
    <xf numFmtId="0" fontId="8" fillId="0" borderId="2" xfId="0" applyFont="1" applyFill="1" applyBorder="1" applyAlignment="1" applyProtection="1">
      <alignment vertical="center"/>
    </xf>
    <xf numFmtId="0" fontId="6" fillId="0" borderId="11" xfId="0" applyFont="1" applyFill="1" applyBorder="1" applyAlignment="1" applyProtection="1">
      <alignment vertical="center"/>
    </xf>
    <xf numFmtId="0" fontId="8" fillId="0" borderId="0" xfId="0" applyFont="1"/>
    <xf numFmtId="0" fontId="8" fillId="0" borderId="0" xfId="0" applyFont="1" applyFill="1" applyBorder="1" applyAlignment="1">
      <alignment horizontal="left"/>
    </xf>
    <xf numFmtId="0" fontId="4" fillId="0" borderId="0" xfId="0" applyFont="1" applyBorder="1" applyAlignment="1" applyProtection="1">
      <alignment vertical="center"/>
    </xf>
    <xf numFmtId="181" fontId="17" fillId="0" borderId="52" xfId="0" applyNumberFormat="1" applyFont="1" applyBorder="1"/>
    <xf numFmtId="181" fontId="17" fillId="11" borderId="5" xfId="0" applyNumberFormat="1" applyFont="1" applyFill="1" applyBorder="1"/>
    <xf numFmtId="3" fontId="17" fillId="0" borderId="23" xfId="0" applyNumberFormat="1" applyFont="1" applyBorder="1"/>
    <xf numFmtId="180" fontId="17" fillId="0" borderId="49" xfId="0" applyNumberFormat="1" applyFont="1" applyBorder="1"/>
    <xf numFmtId="180" fontId="17" fillId="0" borderId="47" xfId="0" applyNumberFormat="1" applyFont="1" applyBorder="1"/>
    <xf numFmtId="180" fontId="17" fillId="0" borderId="50" xfId="0" applyNumberFormat="1" applyFont="1" applyBorder="1"/>
    <xf numFmtId="180" fontId="17" fillId="0" borderId="51" xfId="0" applyNumberFormat="1" applyFont="1" applyBorder="1"/>
    <xf numFmtId="180" fontId="17" fillId="11" borderId="0" xfId="0" applyNumberFormat="1" applyFont="1" applyFill="1" applyBorder="1"/>
    <xf numFmtId="180" fontId="15" fillId="11" borderId="50" xfId="0" applyNumberFormat="1" applyFont="1" applyFill="1" applyBorder="1"/>
    <xf numFmtId="180" fontId="15" fillId="11" borderId="51" xfId="0" applyNumberFormat="1" applyFont="1" applyFill="1" applyBorder="1"/>
    <xf numFmtId="178" fontId="15" fillId="11" borderId="51" xfId="0" applyNumberFormat="1" applyFont="1" applyFill="1" applyBorder="1"/>
    <xf numFmtId="181" fontId="17" fillId="11" borderId="54" xfId="0" applyNumberFormat="1" applyFont="1" applyFill="1" applyBorder="1"/>
    <xf numFmtId="181" fontId="17" fillId="11" borderId="53" xfId="0" applyNumberFormat="1" applyFont="1" applyFill="1" applyBorder="1"/>
    <xf numFmtId="180" fontId="17" fillId="11" borderId="12" xfId="0" applyNumberFormat="1" applyFont="1" applyFill="1" applyBorder="1"/>
    <xf numFmtId="171" fontId="17" fillId="0" borderId="49" xfId="0" applyNumberFormat="1" applyFont="1" applyBorder="1"/>
    <xf numFmtId="171" fontId="17" fillId="0" borderId="47" xfId="0" applyNumberFormat="1" applyFont="1" applyBorder="1"/>
    <xf numFmtId="171" fontId="17" fillId="0" borderId="50" xfId="0" applyNumberFormat="1" applyFont="1" applyBorder="1"/>
    <xf numFmtId="171" fontId="17" fillId="11" borderId="12" xfId="0" applyNumberFormat="1" applyFont="1" applyFill="1" applyBorder="1"/>
    <xf numFmtId="190" fontId="15" fillId="0" borderId="23" xfId="0" applyNumberFormat="1" applyFont="1" applyBorder="1"/>
    <xf numFmtId="190" fontId="8" fillId="0" borderId="23" xfId="0" applyNumberFormat="1" applyFont="1" applyBorder="1" applyAlignment="1">
      <alignment horizontal="center"/>
    </xf>
    <xf numFmtId="180" fontId="17" fillId="11" borderId="6" xfId="0" applyNumberFormat="1" applyFont="1" applyFill="1" applyBorder="1"/>
    <xf numFmtId="178" fontId="17" fillId="0" borderId="52" xfId="0" applyNumberFormat="1" applyFont="1" applyBorder="1"/>
    <xf numFmtId="178" fontId="17" fillId="0" borderId="53" xfId="0" applyNumberFormat="1" applyFont="1" applyBorder="1"/>
    <xf numFmtId="178" fontId="17" fillId="0" borderId="54" xfId="0" applyNumberFormat="1" applyFont="1" applyBorder="1"/>
    <xf numFmtId="178" fontId="17" fillId="11" borderId="6" xfId="0" applyNumberFormat="1" applyFont="1" applyFill="1" applyBorder="1"/>
    <xf numFmtId="3" fontId="15" fillId="0" borderId="23" xfId="0" applyNumberFormat="1" applyFont="1" applyBorder="1" applyAlignment="1">
      <alignment horizontal="right"/>
    </xf>
    <xf numFmtId="3" fontId="0" fillId="0" borderId="0" xfId="0" applyNumberFormat="1" applyBorder="1"/>
    <xf numFmtId="0" fontId="0" fillId="9" borderId="0" xfId="0" applyFill="1" applyBorder="1" applyAlignment="1">
      <alignment horizontal="center"/>
    </xf>
    <xf numFmtId="0" fontId="0" fillId="0" borderId="0" xfId="0" applyBorder="1" applyAlignment="1">
      <alignment horizontal="center"/>
    </xf>
    <xf numFmtId="3" fontId="8" fillId="0" borderId="20" xfId="0" applyNumberFormat="1" applyFont="1" applyBorder="1" applyAlignment="1" applyProtection="1">
      <alignment horizontal="right"/>
    </xf>
    <xf numFmtId="3" fontId="6" fillId="11" borderId="23" xfId="0" applyNumberFormat="1" applyFont="1" applyFill="1" applyBorder="1" applyAlignment="1" applyProtection="1"/>
    <xf numFmtId="3" fontId="8" fillId="0" borderId="0" xfId="0" applyNumberFormat="1" applyFont="1" applyBorder="1" applyAlignment="1" applyProtection="1">
      <alignment horizontal="right"/>
    </xf>
    <xf numFmtId="3" fontId="8" fillId="0" borderId="0" xfId="0" applyNumberFormat="1" applyFont="1" applyBorder="1" applyAlignment="1" applyProtection="1"/>
    <xf numFmtId="3" fontId="6" fillId="11" borderId="23" xfId="0" applyNumberFormat="1" applyFont="1" applyFill="1" applyBorder="1" applyAlignment="1" applyProtection="1">
      <alignment horizontal="right"/>
    </xf>
    <xf numFmtId="3" fontId="8" fillId="0" borderId="12" xfId="0" applyNumberFormat="1" applyFont="1" applyBorder="1" applyAlignment="1" applyProtection="1">
      <alignment horizontal="right"/>
    </xf>
    <xf numFmtId="3" fontId="0" fillId="0" borderId="23" xfId="0" applyNumberFormat="1" applyBorder="1"/>
    <xf numFmtId="3" fontId="34" fillId="11" borderId="23" xfId="0" applyNumberFormat="1" applyFont="1" applyFill="1" applyBorder="1"/>
    <xf numFmtId="3" fontId="0" fillId="0" borderId="12" xfId="0" applyNumberFormat="1" applyBorder="1"/>
    <xf numFmtId="3" fontId="8" fillId="0" borderId="23" xfId="0" applyNumberFormat="1" applyFont="1" applyBorder="1" applyAlignment="1" applyProtection="1">
      <alignment vertical="center"/>
    </xf>
    <xf numFmtId="3" fontId="8" fillId="11" borderId="23" xfId="0" applyNumberFormat="1" applyFont="1" applyFill="1" applyBorder="1" applyAlignment="1" applyProtection="1">
      <alignment vertical="center"/>
    </xf>
    <xf numFmtId="3" fontId="8" fillId="0" borderId="0" xfId="0" applyNumberFormat="1" applyFont="1" applyBorder="1" applyAlignment="1" applyProtection="1">
      <alignment vertical="center"/>
    </xf>
    <xf numFmtId="3" fontId="8" fillId="0" borderId="12" xfId="0" applyNumberFormat="1" applyFont="1" applyBorder="1" applyAlignment="1" applyProtection="1">
      <alignment vertical="center"/>
    </xf>
    <xf numFmtId="3" fontId="8" fillId="0" borderId="33" xfId="0" applyNumberFormat="1" applyFont="1" applyBorder="1" applyAlignment="1" applyProtection="1">
      <alignment vertical="center"/>
    </xf>
    <xf numFmtId="0" fontId="6" fillId="0" borderId="5" xfId="0" applyFont="1" applyBorder="1" applyAlignment="1" applyProtection="1">
      <alignment horizontal="right" vertical="center"/>
    </xf>
    <xf numFmtId="3" fontId="7" fillId="0" borderId="33" xfId="0" applyNumberFormat="1" applyFont="1" applyBorder="1" applyAlignment="1" applyProtection="1">
      <alignment vertical="center"/>
    </xf>
    <xf numFmtId="3" fontId="7" fillId="0" borderId="5" xfId="0" applyNumberFormat="1" applyFont="1" applyBorder="1" applyAlignment="1" applyProtection="1">
      <alignment vertical="center"/>
    </xf>
    <xf numFmtId="3" fontId="7" fillId="0" borderId="6" xfId="0" applyNumberFormat="1" applyFont="1" applyBorder="1" applyAlignment="1" applyProtection="1">
      <alignment vertical="center"/>
    </xf>
    <xf numFmtId="0" fontId="83" fillId="0" borderId="0" xfId="0" applyFont="1" applyBorder="1" applyAlignment="1">
      <alignment vertical="center"/>
    </xf>
    <xf numFmtId="0" fontId="7" fillId="9" borderId="0" xfId="0" applyFont="1" applyFill="1" applyBorder="1" applyAlignment="1">
      <alignment horizontal="center" vertical="center"/>
    </xf>
    <xf numFmtId="0" fontId="6" fillId="0" borderId="0" xfId="0" applyFont="1" applyBorder="1" applyAlignment="1">
      <alignment vertical="center"/>
    </xf>
    <xf numFmtId="3" fontId="74" fillId="11" borderId="23" xfId="0" applyNumberFormat="1" applyFont="1" applyFill="1" applyBorder="1" applyAlignment="1">
      <alignment vertical="center"/>
    </xf>
    <xf numFmtId="3" fontId="7" fillId="0" borderId="0" xfId="0" applyNumberFormat="1" applyFont="1" applyBorder="1" applyAlignment="1">
      <alignment vertical="center"/>
    </xf>
    <xf numFmtId="3" fontId="7" fillId="0" borderId="23" xfId="0" applyNumberFormat="1" applyFont="1" applyFill="1" applyBorder="1" applyAlignment="1">
      <alignment vertical="center"/>
    </xf>
    <xf numFmtId="3" fontId="74" fillId="11" borderId="33" xfId="0" applyNumberFormat="1" applyFont="1" applyFill="1" applyBorder="1" applyAlignment="1" applyProtection="1">
      <alignment vertical="center"/>
    </xf>
    <xf numFmtId="9" fontId="0" fillId="0" borderId="5" xfId="0" applyNumberFormat="1" applyBorder="1"/>
    <xf numFmtId="3" fontId="0" fillId="11" borderId="33" xfId="0" applyNumberFormat="1" applyFill="1" applyBorder="1"/>
    <xf numFmtId="3" fontId="0" fillId="0" borderId="5" xfId="0" applyNumberFormat="1" applyBorder="1"/>
    <xf numFmtId="3" fontId="0" fillId="0" borderId="6" xfId="0" applyNumberFormat="1" applyBorder="1"/>
    <xf numFmtId="0" fontId="34" fillId="0" borderId="5" xfId="0" applyFont="1" applyBorder="1" applyAlignment="1">
      <alignment horizontal="right"/>
    </xf>
    <xf numFmtId="3" fontId="0" fillId="0" borderId="33" xfId="0" applyNumberFormat="1" applyBorder="1"/>
    <xf numFmtId="0" fontId="34" fillId="0" borderId="1" xfId="0" applyFont="1" applyBorder="1"/>
    <xf numFmtId="0" fontId="12" fillId="0" borderId="0" xfId="0" applyFont="1" applyFill="1"/>
    <xf numFmtId="0" fontId="0" fillId="0" borderId="0" xfId="0" applyFill="1"/>
    <xf numFmtId="0" fontId="8" fillId="0" borderId="0" xfId="0" applyFont="1" applyFill="1" applyAlignment="1" applyProtection="1">
      <alignment vertical="center"/>
    </xf>
    <xf numFmtId="0" fontId="8" fillId="0" borderId="11" xfId="0" applyFont="1" applyFill="1" applyBorder="1" applyAlignment="1" applyProtection="1">
      <alignment horizontal="right" vertical="center"/>
    </xf>
    <xf numFmtId="0" fontId="12" fillId="0" borderId="11" xfId="0" applyFont="1" applyFill="1" applyBorder="1"/>
    <xf numFmtId="0" fontId="15" fillId="0" borderId="24" xfId="0" applyFont="1" applyFill="1" applyBorder="1"/>
    <xf numFmtId="0" fontId="12" fillId="0" borderId="34" xfId="0" applyFont="1" applyFill="1" applyBorder="1"/>
    <xf numFmtId="0" fontId="12" fillId="0" borderId="10" xfId="0" applyFont="1" applyFill="1" applyBorder="1"/>
    <xf numFmtId="0" fontId="12" fillId="0" borderId="12" xfId="0" applyFont="1" applyFill="1" applyBorder="1"/>
    <xf numFmtId="0" fontId="12" fillId="0" borderId="2" xfId="0" applyFont="1" applyFill="1" applyBorder="1"/>
    <xf numFmtId="0" fontId="6" fillId="0" borderId="5" xfId="0" applyFont="1" applyFill="1" applyBorder="1" applyAlignment="1" applyProtection="1">
      <alignment vertical="center"/>
    </xf>
    <xf numFmtId="0" fontId="12" fillId="0" borderId="5" xfId="0" applyFont="1" applyFill="1" applyBorder="1"/>
    <xf numFmtId="0" fontId="12" fillId="0" borderId="3" xfId="0" applyFont="1" applyFill="1" applyBorder="1"/>
    <xf numFmtId="0" fontId="12" fillId="0" borderId="6" xfId="0" applyFont="1" applyFill="1" applyBorder="1"/>
    <xf numFmtId="0" fontId="7" fillId="0" borderId="0" xfId="0" applyFont="1" applyFill="1" applyBorder="1" applyAlignment="1" applyProtection="1">
      <alignment horizontal="right" vertical="center"/>
    </xf>
    <xf numFmtId="2" fontId="79" fillId="0" borderId="0" xfId="0" applyNumberFormat="1" applyFont="1" applyFill="1" applyBorder="1" applyAlignment="1" applyProtection="1">
      <alignment horizontal="right" vertical="center"/>
    </xf>
    <xf numFmtId="0" fontId="8" fillId="0" borderId="10" xfId="0" applyFont="1" applyFill="1" applyBorder="1" applyAlignment="1" applyProtection="1">
      <alignment vertical="center"/>
    </xf>
    <xf numFmtId="0" fontId="8" fillId="0" borderId="4" xfId="0" applyFont="1" applyFill="1" applyBorder="1" applyAlignment="1" applyProtection="1">
      <alignment vertical="center"/>
    </xf>
    <xf numFmtId="0" fontId="8" fillId="0" borderId="13" xfId="0" applyFont="1" applyFill="1" applyBorder="1" applyAlignment="1" applyProtection="1">
      <alignment vertical="center"/>
    </xf>
    <xf numFmtId="0" fontId="8" fillId="0" borderId="11" xfId="0" applyFont="1" applyFill="1" applyBorder="1" applyAlignment="1" applyProtection="1">
      <alignment vertical="center"/>
    </xf>
    <xf numFmtId="0" fontId="8" fillId="0" borderId="11" xfId="0" applyFont="1" applyFill="1" applyBorder="1" applyAlignment="1" applyProtection="1">
      <alignment horizontal="left" vertical="center"/>
    </xf>
    <xf numFmtId="0" fontId="8" fillId="0" borderId="3" xfId="0" applyFont="1" applyFill="1" applyBorder="1" applyAlignment="1" applyProtection="1">
      <alignment vertical="center"/>
    </xf>
    <xf numFmtId="0" fontId="8" fillId="0" borderId="5" xfId="0" applyFont="1" applyFill="1" applyBorder="1" applyAlignment="1" applyProtection="1">
      <alignment vertical="center"/>
    </xf>
    <xf numFmtId="0" fontId="8" fillId="0" borderId="6" xfId="0" applyFont="1" applyFill="1" applyBorder="1" applyAlignment="1" applyProtection="1">
      <alignment vertical="center"/>
    </xf>
    <xf numFmtId="0" fontId="6" fillId="0" borderId="12" xfId="0" applyFont="1" applyFill="1" applyBorder="1" applyAlignment="1" applyProtection="1">
      <alignment horizontal="right" vertical="center"/>
    </xf>
    <xf numFmtId="0" fontId="8" fillId="0" borderId="34" xfId="0" applyFont="1" applyFill="1" applyBorder="1" applyAlignment="1" applyProtection="1">
      <alignment horizontal="right" vertical="center"/>
    </xf>
    <xf numFmtId="0" fontId="69" fillId="0" borderId="4" xfId="0" applyFont="1" applyFill="1" applyBorder="1" applyAlignment="1" applyProtection="1">
      <alignment horizontal="right" vertical="center"/>
    </xf>
    <xf numFmtId="2" fontId="69" fillId="0" borderId="4" xfId="0" applyNumberFormat="1" applyFont="1" applyFill="1" applyBorder="1" applyAlignment="1" applyProtection="1">
      <alignment vertical="center"/>
    </xf>
    <xf numFmtId="0" fontId="69" fillId="0" borderId="4" xfId="0" applyFont="1" applyFill="1" applyBorder="1" applyAlignment="1" applyProtection="1">
      <alignment horizontal="left" vertical="center"/>
    </xf>
    <xf numFmtId="1" fontId="8" fillId="0" borderId="13" xfId="0" applyNumberFormat="1" applyFont="1" applyFill="1" applyBorder="1" applyAlignment="1" applyProtection="1">
      <alignment vertical="center"/>
    </xf>
    <xf numFmtId="0" fontId="69" fillId="0" borderId="0" xfId="0" applyFont="1" applyFill="1" applyBorder="1" applyAlignment="1" applyProtection="1">
      <alignment horizontal="right" vertical="center"/>
    </xf>
    <xf numFmtId="2" fontId="69" fillId="0" borderId="0" xfId="0" applyNumberFormat="1" applyFont="1" applyFill="1" applyBorder="1" applyAlignment="1" applyProtection="1">
      <alignment vertical="center"/>
    </xf>
    <xf numFmtId="0" fontId="69" fillId="0" borderId="0" xfId="0" applyFont="1" applyFill="1" applyBorder="1" applyAlignment="1" applyProtection="1">
      <alignment horizontal="left" vertical="center"/>
    </xf>
    <xf numFmtId="0" fontId="8" fillId="0" borderId="12" xfId="0" applyFont="1" applyFill="1" applyBorder="1" applyAlignment="1" applyProtection="1">
      <alignment vertical="center"/>
    </xf>
    <xf numFmtId="1" fontId="8" fillId="0" borderId="12" xfId="0" applyNumberFormat="1" applyFont="1" applyFill="1" applyBorder="1" applyAlignment="1" applyProtection="1">
      <alignment vertical="center"/>
    </xf>
    <xf numFmtId="0" fontId="69" fillId="0" borderId="5" xfId="0" applyFont="1" applyFill="1" applyBorder="1" applyAlignment="1" applyProtection="1">
      <alignment horizontal="right" vertical="center"/>
    </xf>
    <xf numFmtId="2" fontId="69" fillId="0" borderId="5" xfId="0" applyNumberFormat="1" applyFont="1" applyFill="1" applyBorder="1" applyAlignment="1" applyProtection="1">
      <alignment vertical="center"/>
    </xf>
    <xf numFmtId="0" fontId="69" fillId="0" borderId="5" xfId="0" applyFont="1" applyFill="1" applyBorder="1" applyAlignment="1" applyProtection="1">
      <alignment horizontal="left" vertical="center"/>
    </xf>
    <xf numFmtId="1" fontId="8" fillId="0" borderId="6" xfId="0" applyNumberFormat="1" applyFont="1" applyFill="1" applyBorder="1" applyAlignment="1" applyProtection="1">
      <alignment vertical="center"/>
    </xf>
    <xf numFmtId="0" fontId="34" fillId="0" borderId="2" xfId="0" applyFont="1" applyFill="1" applyBorder="1" applyAlignment="1" applyProtection="1">
      <alignment vertical="center"/>
    </xf>
    <xf numFmtId="0" fontId="34" fillId="0" borderId="0" xfId="0" applyFont="1" applyFill="1" applyBorder="1" applyAlignment="1" applyProtection="1">
      <alignment vertical="center"/>
    </xf>
    <xf numFmtId="0" fontId="34" fillId="0" borderId="0" xfId="0" applyFont="1" applyFill="1" applyBorder="1" applyAlignment="1" applyProtection="1">
      <alignment horizontal="left" vertical="center"/>
    </xf>
    <xf numFmtId="0" fontId="34" fillId="0" borderId="0" xfId="0" applyFont="1" applyFill="1" applyBorder="1" applyAlignment="1" applyProtection="1">
      <alignment horizontal="right" vertical="center"/>
    </xf>
    <xf numFmtId="0" fontId="34" fillId="0" borderId="12" xfId="0" applyFont="1" applyFill="1" applyBorder="1" applyAlignment="1" applyProtection="1">
      <alignment vertical="center"/>
    </xf>
    <xf numFmtId="0" fontId="8" fillId="0" borderId="19" xfId="0" applyFont="1" applyFill="1" applyBorder="1" applyAlignment="1" applyProtection="1">
      <alignment vertical="center"/>
    </xf>
    <xf numFmtId="0" fontId="8" fillId="0" borderId="18" xfId="0" applyFont="1" applyFill="1" applyBorder="1" applyAlignment="1" applyProtection="1">
      <alignment vertical="center"/>
    </xf>
    <xf numFmtId="0" fontId="8" fillId="0" borderId="18" xfId="0" applyFont="1" applyFill="1" applyBorder="1" applyAlignment="1" applyProtection="1">
      <alignment horizontal="right" vertical="center"/>
    </xf>
    <xf numFmtId="2" fontId="8" fillId="0" borderId="19" xfId="0" applyNumberFormat="1" applyFont="1" applyFill="1" applyBorder="1" applyAlignment="1" applyProtection="1">
      <alignment horizontal="right" vertical="center"/>
    </xf>
    <xf numFmtId="2" fontId="8" fillId="0" borderId="77" xfId="0" applyNumberFormat="1" applyFont="1" applyFill="1" applyBorder="1" applyAlignment="1" applyProtection="1">
      <alignment horizontal="right" vertical="center"/>
    </xf>
    <xf numFmtId="0" fontId="8" fillId="0" borderId="77" xfId="0" applyFont="1" applyFill="1" applyBorder="1" applyAlignment="1" applyProtection="1">
      <alignment vertical="center"/>
    </xf>
    <xf numFmtId="2" fontId="6" fillId="0" borderId="24" xfId="0" applyNumberFormat="1" applyFont="1" applyFill="1" applyBorder="1" applyAlignment="1" applyProtection="1">
      <alignment horizontal="right" vertical="center"/>
    </xf>
    <xf numFmtId="0" fontId="8" fillId="0" borderId="34" xfId="0" applyFont="1" applyFill="1" applyBorder="1" applyAlignment="1" applyProtection="1">
      <alignment vertical="center"/>
    </xf>
    <xf numFmtId="3" fontId="8" fillId="0" borderId="1" xfId="0" applyNumberFormat="1" applyFont="1" applyFill="1" applyBorder="1" applyAlignment="1" applyProtection="1">
      <alignment horizontal="center" vertical="center"/>
    </xf>
    <xf numFmtId="170" fontId="8" fillId="0" borderId="2" xfId="0" applyNumberFormat="1" applyFont="1" applyFill="1" applyBorder="1" applyAlignment="1" applyProtection="1">
      <alignment vertical="center"/>
    </xf>
    <xf numFmtId="180" fontId="8" fillId="0" borderId="10" xfId="0" applyNumberFormat="1"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180" fontId="8" fillId="0" borderId="2" xfId="0" applyNumberFormat="1" applyFont="1" applyFill="1" applyBorder="1" applyAlignment="1" applyProtection="1">
      <alignment vertical="center"/>
    </xf>
    <xf numFmtId="0" fontId="7" fillId="0" borderId="11" xfId="0" applyFont="1" applyFill="1" applyBorder="1" applyAlignment="1" applyProtection="1">
      <alignment horizontal="right" vertical="center"/>
    </xf>
    <xf numFmtId="170" fontId="7" fillId="0" borderId="1" xfId="0" applyNumberFormat="1" applyFont="1" applyFill="1" applyBorder="1" applyAlignment="1" applyProtection="1">
      <alignment horizontal="center" vertical="center"/>
    </xf>
    <xf numFmtId="170" fontId="7" fillId="0" borderId="34" xfId="0" applyNumberFormat="1" applyFont="1" applyFill="1" applyBorder="1" applyAlignment="1" applyProtection="1">
      <alignment horizontal="center" vertical="center"/>
    </xf>
    <xf numFmtId="182" fontId="8" fillId="0" borderId="19" xfId="0" applyNumberFormat="1" applyFont="1" applyFill="1" applyBorder="1" applyAlignment="1" applyProtection="1">
      <alignment vertical="center"/>
    </xf>
    <xf numFmtId="166" fontId="8" fillId="0" borderId="19" xfId="0" applyNumberFormat="1" applyFont="1" applyFill="1" applyBorder="1" applyAlignment="1" applyProtection="1">
      <alignment horizontal="right" vertical="center"/>
    </xf>
    <xf numFmtId="180" fontId="7" fillId="0" borderId="1" xfId="0" applyNumberFormat="1" applyFont="1" applyFill="1" applyBorder="1" applyAlignment="1" applyProtection="1">
      <alignment horizontal="center" vertical="center"/>
    </xf>
    <xf numFmtId="180" fontId="7" fillId="0" borderId="34" xfId="0" applyNumberFormat="1" applyFont="1" applyFill="1" applyBorder="1" applyAlignment="1" applyProtection="1">
      <alignment horizontal="center" vertical="center"/>
    </xf>
    <xf numFmtId="0" fontId="8" fillId="0" borderId="78" xfId="0" applyFont="1" applyFill="1" applyBorder="1" applyAlignment="1" applyProtection="1">
      <alignment vertical="center"/>
    </xf>
    <xf numFmtId="182" fontId="8" fillId="0" borderId="78" xfId="0" applyNumberFormat="1" applyFont="1" applyFill="1" applyBorder="1" applyAlignment="1" applyProtection="1">
      <alignment vertical="center"/>
    </xf>
    <xf numFmtId="0" fontId="8" fillId="0" borderId="79" xfId="0" applyFont="1" applyFill="1" applyBorder="1" applyAlignment="1" applyProtection="1">
      <alignment vertical="center"/>
    </xf>
    <xf numFmtId="166" fontId="8" fillId="0" borderId="78" xfId="0" applyNumberFormat="1" applyFont="1" applyFill="1" applyBorder="1" applyAlignment="1" applyProtection="1">
      <alignment horizontal="right" vertical="center"/>
    </xf>
    <xf numFmtId="193" fontId="6" fillId="0" borderId="24" xfId="0" applyNumberFormat="1" applyFont="1" applyFill="1" applyBorder="1" applyAlignment="1" applyProtection="1">
      <alignment horizontal="right" vertical="center"/>
    </xf>
    <xf numFmtId="166" fontId="6" fillId="0" borderId="24" xfId="0" applyNumberFormat="1" applyFont="1" applyFill="1" applyBorder="1" applyAlignment="1" applyProtection="1">
      <alignment horizontal="right" vertical="center"/>
    </xf>
    <xf numFmtId="0" fontId="6" fillId="0" borderId="10" xfId="0" applyFont="1" applyFill="1" applyBorder="1" applyAlignment="1" applyProtection="1">
      <alignment vertical="center"/>
    </xf>
    <xf numFmtId="0" fontId="12" fillId="0" borderId="4" xfId="0" applyFont="1" applyFill="1" applyBorder="1" applyAlignment="1" applyProtection="1">
      <alignment vertical="center"/>
    </xf>
    <xf numFmtId="0" fontId="13" fillId="0" borderId="4" xfId="0" applyFont="1" applyFill="1" applyBorder="1" applyAlignment="1" applyProtection="1">
      <alignment vertical="center"/>
    </xf>
    <xf numFmtId="172" fontId="13" fillId="0" borderId="34" xfId="7" applyNumberFormat="1" applyFont="1" applyFill="1" applyBorder="1" applyAlignment="1" applyProtection="1">
      <alignment horizontal="centerContinuous" vertical="center"/>
    </xf>
    <xf numFmtId="0" fontId="6" fillId="0" borderId="24" xfId="0" applyFont="1" applyFill="1" applyBorder="1" applyAlignment="1" applyProtection="1">
      <alignment vertical="center"/>
    </xf>
    <xf numFmtId="0" fontId="8" fillId="2" borderId="0" xfId="0" applyFont="1" applyFill="1" applyBorder="1" applyAlignment="1" applyProtection="1">
      <alignment horizontal="right" vertical="center"/>
    </xf>
    <xf numFmtId="166" fontId="6" fillId="0" borderId="0" xfId="0" applyNumberFormat="1" applyFont="1" applyFill="1" applyBorder="1" applyAlignment="1" applyProtection="1">
      <alignment horizontal="right" vertical="center"/>
    </xf>
    <xf numFmtId="3" fontId="6" fillId="0" borderId="24" xfId="0" applyNumberFormat="1" applyFont="1" applyFill="1" applyBorder="1" applyAlignment="1" applyProtection="1">
      <alignment vertical="center"/>
    </xf>
    <xf numFmtId="3" fontId="6" fillId="0" borderId="34" xfId="0" applyNumberFormat="1" applyFont="1" applyFill="1" applyBorder="1" applyAlignment="1" applyProtection="1">
      <alignment vertical="center"/>
    </xf>
    <xf numFmtId="0" fontId="0" fillId="0" borderId="0" xfId="0" applyFill="1" applyBorder="1"/>
    <xf numFmtId="166" fontId="6" fillId="0" borderId="3" xfId="0" applyNumberFormat="1" applyFont="1" applyFill="1" applyBorder="1" applyAlignment="1" applyProtection="1">
      <alignment vertical="center"/>
    </xf>
    <xf numFmtId="0" fontId="8" fillId="0" borderId="7" xfId="0" applyFont="1" applyFill="1" applyBorder="1" applyAlignment="1" applyProtection="1">
      <alignment vertical="center"/>
    </xf>
    <xf numFmtId="0" fontId="8" fillId="0" borderId="8" xfId="0"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0" xfId="0" applyFont="1" applyFill="1" applyBorder="1" applyAlignment="1" applyProtection="1">
      <alignment vertical="center"/>
    </xf>
    <xf numFmtId="0" fontId="8" fillId="0" borderId="72" xfId="0" applyFont="1" applyFill="1" applyBorder="1" applyAlignment="1" applyProtection="1">
      <alignment vertical="center"/>
    </xf>
    <xf numFmtId="0" fontId="21" fillId="0" borderId="81" xfId="0" applyFont="1" applyFill="1" applyBorder="1" applyAlignment="1" applyProtection="1">
      <alignment vertical="center"/>
    </xf>
    <xf numFmtId="0" fontId="8" fillId="0" borderId="74" xfId="0" applyFont="1" applyFill="1" applyBorder="1" applyAlignment="1" applyProtection="1">
      <alignment vertical="center"/>
    </xf>
    <xf numFmtId="0" fontId="8" fillId="0" borderId="75" xfId="0" applyFont="1" applyFill="1" applyBorder="1" applyAlignment="1" applyProtection="1">
      <alignment vertical="center"/>
    </xf>
    <xf numFmtId="0" fontId="8" fillId="0" borderId="75" xfId="0" applyFont="1" applyFill="1" applyBorder="1" applyAlignment="1" applyProtection="1">
      <alignment horizontal="left" vertical="center"/>
    </xf>
    <xf numFmtId="0" fontId="8" fillId="0" borderId="82" xfId="0" applyFont="1" applyFill="1" applyBorder="1" applyAlignment="1" applyProtection="1">
      <alignment vertical="center"/>
    </xf>
    <xf numFmtId="0" fontId="6" fillId="0" borderId="83" xfId="0" applyFont="1" applyFill="1" applyBorder="1" applyAlignment="1" applyProtection="1">
      <alignment horizontal="right" vertical="center"/>
    </xf>
    <xf numFmtId="0" fontId="6" fillId="0" borderId="82" xfId="0" applyFont="1" applyFill="1" applyBorder="1" applyAlignment="1" applyProtection="1">
      <alignment horizontal="right" vertical="center"/>
    </xf>
    <xf numFmtId="0" fontId="6" fillId="0" borderId="76" xfId="0" applyFont="1" applyFill="1" applyBorder="1" applyAlignment="1" applyProtection="1">
      <alignment horizontal="right" vertical="center"/>
    </xf>
    <xf numFmtId="3" fontId="6" fillId="0" borderId="1" xfId="0" applyNumberFormat="1" applyFont="1" applyFill="1" applyBorder="1" applyAlignment="1" applyProtection="1">
      <alignment horizontal="center" vertical="center"/>
    </xf>
    <xf numFmtId="3" fontId="6" fillId="0" borderId="34" xfId="0" applyNumberFormat="1" applyFont="1" applyFill="1" applyBorder="1" applyAlignment="1" applyProtection="1">
      <alignment horizontal="center" vertical="center"/>
    </xf>
    <xf numFmtId="166" fontId="6" fillId="2" borderId="18" xfId="0" applyNumberFormat="1" applyFont="1" applyFill="1" applyBorder="1" applyAlignment="1" applyProtection="1">
      <alignment horizontal="center" vertical="center"/>
    </xf>
    <xf numFmtId="0" fontId="6" fillId="2" borderId="18" xfId="0" applyFont="1" applyFill="1" applyBorder="1" applyAlignment="1" applyProtection="1">
      <alignment horizontal="center" vertical="center"/>
    </xf>
    <xf numFmtId="0" fontId="25" fillId="0" borderId="77" xfId="0" applyFont="1" applyFill="1" applyBorder="1" applyAlignment="1" applyProtection="1">
      <alignment vertical="center"/>
    </xf>
    <xf numFmtId="0" fontId="87" fillId="0" borderId="0" xfId="0" applyFont="1" applyFill="1" applyBorder="1" applyAlignment="1" applyProtection="1">
      <alignment horizontal="center" vertical="center"/>
    </xf>
    <xf numFmtId="0" fontId="75" fillId="0" borderId="11" xfId="0" applyFont="1" applyFill="1" applyBorder="1" applyAlignment="1" applyProtection="1">
      <alignment vertical="center"/>
    </xf>
    <xf numFmtId="0" fontId="88" fillId="0" borderId="11" xfId="0" applyFont="1" applyFill="1" applyBorder="1" applyAlignment="1" applyProtection="1">
      <alignment horizontal="left" vertical="center"/>
    </xf>
    <xf numFmtId="0" fontId="88" fillId="0" borderId="34" xfId="0" applyFont="1" applyFill="1" applyBorder="1" applyAlignment="1" applyProtection="1">
      <alignment horizontal="centerContinuous" vertical="center"/>
    </xf>
    <xf numFmtId="0" fontId="87" fillId="0" borderId="4" xfId="0" applyFont="1" applyFill="1" applyBorder="1" applyAlignment="1" applyProtection="1">
      <alignment horizontal="left" vertical="center"/>
    </xf>
    <xf numFmtId="0" fontId="87" fillId="0" borderId="13" xfId="0" applyFont="1" applyFill="1" applyBorder="1" applyAlignment="1" applyProtection="1">
      <alignment horizontal="left" vertical="center"/>
    </xf>
    <xf numFmtId="0" fontId="20" fillId="0" borderId="7" xfId="0" applyFont="1" applyFill="1" applyBorder="1" applyAlignment="1" applyProtection="1">
      <alignment vertical="center"/>
    </xf>
    <xf numFmtId="0" fontId="8" fillId="0" borderId="8" xfId="0" applyFont="1" applyFill="1" applyBorder="1" applyAlignment="1" applyProtection="1">
      <alignment horizontal="right" vertical="center"/>
    </xf>
    <xf numFmtId="0" fontId="8" fillId="0" borderId="9" xfId="0" applyFont="1" applyFill="1" applyBorder="1" applyAlignment="1" applyProtection="1">
      <alignment vertical="center"/>
    </xf>
    <xf numFmtId="0" fontId="6" fillId="0" borderId="72" xfId="0" applyFont="1" applyFill="1" applyBorder="1" applyAlignment="1" applyProtection="1">
      <alignment vertical="center"/>
    </xf>
    <xf numFmtId="0" fontId="7" fillId="0" borderId="73" xfId="0" applyFont="1" applyFill="1" applyBorder="1" applyAlignment="1" applyProtection="1">
      <alignment vertical="center"/>
    </xf>
    <xf numFmtId="0" fontId="79" fillId="0" borderId="73" xfId="0" applyFont="1" applyFill="1" applyBorder="1" applyAlignment="1" applyProtection="1">
      <alignment vertical="center"/>
    </xf>
    <xf numFmtId="0" fontId="8" fillId="0" borderId="73" xfId="0" applyFont="1" applyFill="1" applyBorder="1" applyAlignment="1" applyProtection="1">
      <alignment vertical="center"/>
    </xf>
    <xf numFmtId="0" fontId="6" fillId="0" borderId="84" xfId="0" applyFont="1" applyFill="1" applyBorder="1" applyAlignment="1" applyProtection="1">
      <alignment vertical="center"/>
    </xf>
    <xf numFmtId="0" fontId="8" fillId="0" borderId="85" xfId="0" applyFont="1" applyFill="1" applyBorder="1" applyAlignment="1" applyProtection="1">
      <alignment horizontal="right" vertical="center"/>
    </xf>
    <xf numFmtId="0" fontId="6" fillId="0" borderId="86" xfId="0" applyFont="1" applyFill="1" applyBorder="1" applyAlignment="1" applyProtection="1">
      <alignment vertical="center"/>
    </xf>
    <xf numFmtId="1" fontId="8" fillId="0" borderId="87" xfId="0" applyNumberFormat="1" applyFont="1" applyFill="1" applyBorder="1" applyAlignment="1" applyProtection="1">
      <alignment vertical="center"/>
    </xf>
    <xf numFmtId="1" fontId="8" fillId="0" borderId="73" xfId="0" applyNumberFormat="1" applyFont="1" applyFill="1" applyBorder="1" applyAlignment="1" applyProtection="1">
      <alignment vertical="center"/>
    </xf>
    <xf numFmtId="0" fontId="8" fillId="0" borderId="84" xfId="0" applyFont="1" applyFill="1" applyBorder="1" applyAlignment="1" applyProtection="1">
      <alignment vertical="center"/>
    </xf>
    <xf numFmtId="1" fontId="8" fillId="0" borderId="85" xfId="0" applyNumberFormat="1" applyFont="1" applyFill="1" applyBorder="1" applyAlignment="1" applyProtection="1">
      <alignment vertical="center"/>
    </xf>
    <xf numFmtId="0" fontId="8" fillId="0" borderId="88" xfId="0" applyFont="1" applyFill="1" applyBorder="1" applyAlignment="1" applyProtection="1">
      <alignment vertical="center"/>
    </xf>
    <xf numFmtId="0" fontId="8" fillId="0" borderId="89" xfId="0" applyFont="1" applyFill="1" applyBorder="1" applyAlignment="1" applyProtection="1">
      <alignment vertical="center"/>
    </xf>
    <xf numFmtId="2" fontId="8" fillId="0" borderId="89" xfId="0" applyNumberFormat="1" applyFont="1" applyFill="1" applyBorder="1" applyAlignment="1" applyProtection="1">
      <alignment horizontal="right" vertical="center"/>
    </xf>
    <xf numFmtId="0" fontId="6" fillId="0" borderId="90" xfId="0" applyFont="1" applyFill="1" applyBorder="1" applyAlignment="1" applyProtection="1">
      <alignment vertical="center"/>
    </xf>
    <xf numFmtId="0" fontId="8" fillId="0" borderId="81" xfId="0" applyFont="1" applyFill="1" applyBorder="1" applyAlignment="1" applyProtection="1">
      <alignment vertical="center"/>
    </xf>
    <xf numFmtId="0" fontId="25" fillId="0" borderId="86" xfId="0" applyFont="1" applyFill="1" applyBorder="1" applyAlignment="1" applyProtection="1">
      <alignment vertical="center"/>
    </xf>
    <xf numFmtId="0" fontId="8" fillId="0" borderId="90" xfId="0" applyFont="1" applyFill="1" applyBorder="1" applyAlignment="1" applyProtection="1">
      <alignment vertical="center"/>
    </xf>
    <xf numFmtId="0" fontId="8" fillId="0" borderId="91" xfId="0" applyFont="1" applyFill="1" applyBorder="1" applyAlignment="1" applyProtection="1">
      <alignment vertical="center"/>
    </xf>
    <xf numFmtId="0" fontId="65" fillId="0" borderId="92" xfId="4" applyFill="1" applyBorder="1" applyAlignment="1" applyProtection="1">
      <alignment horizontal="left" vertical="center"/>
    </xf>
    <xf numFmtId="0" fontId="8" fillId="0" borderId="92" xfId="0" applyFont="1" applyFill="1" applyBorder="1" applyAlignment="1" applyProtection="1">
      <alignment vertical="center"/>
    </xf>
    <xf numFmtId="0" fontId="27" fillId="0" borderId="92" xfId="0" applyFont="1" applyFill="1" applyBorder="1" applyAlignment="1" applyProtection="1">
      <alignment vertical="center"/>
    </xf>
    <xf numFmtId="0" fontId="20" fillId="0" borderId="93" xfId="0" applyFont="1" applyFill="1" applyBorder="1" applyAlignment="1" applyProtection="1">
      <alignment vertical="center"/>
    </xf>
    <xf numFmtId="166" fontId="20" fillId="0" borderId="94" xfId="0" applyNumberFormat="1" applyFont="1" applyFill="1" applyBorder="1" applyAlignment="1" applyProtection="1">
      <alignment horizontal="right" vertical="center"/>
    </xf>
    <xf numFmtId="166" fontId="20" fillId="0" borderId="93" xfId="0" applyNumberFormat="1" applyFont="1" applyFill="1" applyBorder="1" applyAlignment="1" applyProtection="1">
      <alignment horizontal="right" vertical="center"/>
    </xf>
    <xf numFmtId="0" fontId="20" fillId="0" borderId="95" xfId="0" applyFont="1" applyFill="1" applyBorder="1" applyAlignment="1" applyProtection="1">
      <alignment vertical="center"/>
    </xf>
    <xf numFmtId="0" fontId="20" fillId="0" borderId="92" xfId="0" applyFont="1" applyFill="1" applyBorder="1" applyAlignment="1" applyProtection="1">
      <alignment vertical="center"/>
    </xf>
    <xf numFmtId="166" fontId="8" fillId="0" borderId="0" xfId="0" applyNumberFormat="1" applyFont="1" applyFill="1" applyBorder="1" applyAlignment="1">
      <alignment horizontal="right"/>
    </xf>
    <xf numFmtId="0" fontId="8" fillId="0" borderId="0" xfId="0" applyFont="1" applyFill="1" applyBorder="1" applyAlignment="1">
      <alignment horizontal="right"/>
    </xf>
    <xf numFmtId="0" fontId="21" fillId="0" borderId="0" xfId="0" applyFont="1" applyFill="1" applyBorder="1" applyAlignment="1">
      <alignment horizontal="center"/>
    </xf>
    <xf numFmtId="1" fontId="8" fillId="0" borderId="0" xfId="0" applyNumberFormat="1" applyFont="1" applyFill="1" applyBorder="1" applyAlignment="1">
      <alignment horizontal="left"/>
    </xf>
    <xf numFmtId="0" fontId="8" fillId="0" borderId="0" xfId="0" applyFont="1" applyFill="1" applyBorder="1" applyAlignment="1" applyProtection="1">
      <alignment horizontal="left"/>
    </xf>
    <xf numFmtId="0" fontId="0" fillId="0" borderId="0" xfId="0" applyBorder="1" applyAlignment="1">
      <alignment horizontal="center" vertical="center"/>
    </xf>
    <xf numFmtId="0" fontId="0" fillId="0" borderId="0" xfId="0" applyAlignment="1">
      <alignment horizontal="center" vertical="center"/>
    </xf>
    <xf numFmtId="0" fontId="0" fillId="0" borderId="64" xfId="0" applyBorder="1" applyAlignment="1">
      <alignment horizontal="center" vertical="center"/>
    </xf>
    <xf numFmtId="0" fontId="89" fillId="3" borderId="1" xfId="4" applyFont="1" applyFill="1" applyBorder="1" applyAlignment="1" applyProtection="1">
      <alignment horizontal="center" vertical="center"/>
    </xf>
    <xf numFmtId="0" fontId="34" fillId="0" borderId="0" xfId="0" applyFont="1" applyBorder="1" applyAlignment="1">
      <alignment vertical="center"/>
    </xf>
    <xf numFmtId="0" fontId="34" fillId="0" borderId="0" xfId="0" applyFont="1" applyBorder="1" applyAlignment="1">
      <alignment horizontal="center" vertical="top"/>
    </xf>
    <xf numFmtId="180" fontId="15" fillId="0" borderId="0" xfId="0" applyNumberFormat="1" applyFont="1" applyBorder="1"/>
    <xf numFmtId="178" fontId="15" fillId="0" borderId="0" xfId="0" applyNumberFormat="1" applyFont="1" applyBorder="1"/>
    <xf numFmtId="180" fontId="17" fillId="0" borderId="0" xfId="0" applyNumberFormat="1" applyFont="1" applyBorder="1"/>
    <xf numFmtId="181" fontId="17" fillId="0" borderId="5" xfId="0" applyNumberFormat="1" applyFont="1" applyBorder="1"/>
    <xf numFmtId="3" fontId="15" fillId="0" borderId="0" xfId="0" applyNumberFormat="1" applyFont="1" applyBorder="1"/>
    <xf numFmtId="180" fontId="17" fillId="0" borderId="5" xfId="0" applyNumberFormat="1" applyFont="1" applyBorder="1"/>
    <xf numFmtId="171" fontId="17" fillId="0" borderId="0" xfId="0" applyNumberFormat="1" applyFont="1" applyBorder="1"/>
    <xf numFmtId="178" fontId="17" fillId="0" borderId="5" xfId="0" applyNumberFormat="1" applyFont="1" applyBorder="1"/>
    <xf numFmtId="179" fontId="15" fillId="0" borderId="0" xfId="0" applyNumberFormat="1" applyFont="1" applyBorder="1"/>
    <xf numFmtId="171" fontId="15" fillId="0" borderId="0" xfId="0" applyNumberFormat="1" applyFont="1" applyBorder="1"/>
    <xf numFmtId="171" fontId="15" fillId="0" borderId="5" xfId="0" applyNumberFormat="1" applyFont="1" applyBorder="1"/>
    <xf numFmtId="178" fontId="15" fillId="0" borderId="5" xfId="0" applyNumberFormat="1" applyFont="1" applyBorder="1"/>
    <xf numFmtId="9" fontId="12" fillId="0" borderId="0" xfId="0" applyNumberFormat="1" applyFont="1" applyBorder="1" applyAlignment="1">
      <alignment vertical="center"/>
    </xf>
    <xf numFmtId="9" fontId="90" fillId="9" borderId="0" xfId="7" applyFont="1" applyFill="1" applyBorder="1" applyAlignment="1">
      <alignment vertical="center"/>
    </xf>
    <xf numFmtId="0" fontId="2" fillId="0" borderId="12" xfId="0" applyFont="1" applyBorder="1" applyAlignment="1">
      <alignment vertical="center"/>
    </xf>
    <xf numFmtId="0" fontId="5" fillId="4" borderId="4" xfId="8" applyFont="1" applyFill="1" applyBorder="1" applyAlignment="1" applyProtection="1">
      <alignment vertical="center"/>
    </xf>
    <xf numFmtId="0" fontId="12" fillId="4" borderId="4" xfId="8" applyFont="1" applyFill="1" applyBorder="1" applyAlignment="1" applyProtection="1">
      <alignment vertical="center"/>
    </xf>
    <xf numFmtId="0" fontId="12" fillId="4" borderId="13" xfId="8" applyFont="1" applyFill="1" applyBorder="1" applyAlignment="1" applyProtection="1">
      <alignment vertical="center"/>
    </xf>
    <xf numFmtId="9" fontId="90" fillId="4" borderId="0" xfId="7" applyFont="1" applyFill="1" applyBorder="1" applyAlignment="1">
      <alignment vertical="center"/>
    </xf>
    <xf numFmtId="0" fontId="0" fillId="0" borderId="24" xfId="0" applyBorder="1" applyAlignment="1">
      <alignment vertical="center"/>
    </xf>
    <xf numFmtId="0" fontId="0" fillId="0" borderId="11" xfId="0" applyBorder="1" applyAlignment="1">
      <alignment vertical="center"/>
    </xf>
    <xf numFmtId="0" fontId="2" fillId="0" borderId="11" xfId="0" applyFont="1" applyBorder="1" applyAlignment="1">
      <alignment vertical="center"/>
    </xf>
    <xf numFmtId="0" fontId="2" fillId="0" borderId="34" xfId="0" applyFont="1" applyBorder="1" applyAlignment="1">
      <alignment vertical="center"/>
    </xf>
    <xf numFmtId="0" fontId="97" fillId="0" borderId="0" xfId="0" applyFont="1" applyBorder="1" applyAlignment="1">
      <alignment vertical="center"/>
    </xf>
    <xf numFmtId="0" fontId="98" fillId="10" borderId="0" xfId="4" applyFont="1" applyFill="1" applyBorder="1" applyAlignment="1" applyProtection="1">
      <alignment horizontal="center" vertical="center"/>
    </xf>
    <xf numFmtId="0" fontId="99" fillId="0" borderId="0" xfId="0" applyFont="1" applyBorder="1" applyAlignment="1">
      <alignment vertical="center"/>
    </xf>
    <xf numFmtId="0" fontId="100" fillId="10" borderId="0" xfId="4" applyFont="1" applyFill="1" applyBorder="1" applyAlignment="1" applyProtection="1">
      <alignment horizontal="center" vertical="center"/>
    </xf>
    <xf numFmtId="0" fontId="86" fillId="0" borderId="0" xfId="0" applyFont="1" applyBorder="1" applyAlignment="1">
      <alignment vertical="center"/>
    </xf>
    <xf numFmtId="0" fontId="77" fillId="0" borderId="11" xfId="0" applyFont="1" applyBorder="1" applyAlignment="1">
      <alignment vertical="center"/>
    </xf>
    <xf numFmtId="0" fontId="22" fillId="4" borderId="4" xfId="8" applyFont="1" applyFill="1" applyBorder="1" applyAlignment="1" applyProtection="1">
      <alignment vertical="center"/>
    </xf>
    <xf numFmtId="0" fontId="20" fillId="11" borderId="0" xfId="8" applyFont="1" applyFill="1" applyBorder="1" applyAlignment="1" applyProtection="1">
      <alignment vertical="center"/>
    </xf>
    <xf numFmtId="0" fontId="101" fillId="12" borderId="2" xfId="8" applyFont="1" applyFill="1" applyBorder="1" applyAlignment="1" applyProtection="1">
      <alignment vertical="center"/>
    </xf>
    <xf numFmtId="0" fontId="94" fillId="12" borderId="0" xfId="8" applyFont="1" applyFill="1" applyBorder="1" applyAlignment="1" applyProtection="1">
      <alignment vertical="center"/>
    </xf>
    <xf numFmtId="0" fontId="91" fillId="12" borderId="0" xfId="0" applyFont="1" applyFill="1" applyBorder="1" applyAlignment="1">
      <alignment vertical="center"/>
    </xf>
    <xf numFmtId="0" fontId="0" fillId="12" borderId="0" xfId="0" applyFill="1" applyBorder="1" applyAlignment="1">
      <alignment vertical="center"/>
    </xf>
    <xf numFmtId="0" fontId="2" fillId="12" borderId="0" xfId="0" applyFont="1" applyFill="1" applyBorder="1" applyAlignment="1">
      <alignment vertical="center"/>
    </xf>
    <xf numFmtId="0" fontId="2" fillId="12" borderId="12" xfId="0" applyFont="1" applyFill="1" applyBorder="1" applyAlignment="1">
      <alignment vertical="center"/>
    </xf>
    <xf numFmtId="0" fontId="11" fillId="12" borderId="2" xfId="8" applyFont="1" applyFill="1" applyBorder="1" applyAlignment="1" applyProtection="1">
      <alignment vertical="center"/>
    </xf>
    <xf numFmtId="0" fontId="11" fillId="12" borderId="0" xfId="8" applyFont="1" applyFill="1" applyBorder="1" applyAlignment="1" applyProtection="1">
      <alignment vertical="center"/>
    </xf>
    <xf numFmtId="0" fontId="0" fillId="12" borderId="19" xfId="0" applyFill="1" applyBorder="1" applyAlignment="1">
      <alignment vertical="center"/>
    </xf>
    <xf numFmtId="0" fontId="8" fillId="12" borderId="18" xfId="8" applyFont="1" applyFill="1" applyBorder="1" applyAlignment="1" applyProtection="1">
      <alignment vertical="center"/>
    </xf>
    <xf numFmtId="0" fontId="0" fillId="12" borderId="18" xfId="0" applyFill="1" applyBorder="1" applyAlignment="1">
      <alignment vertical="center"/>
    </xf>
    <xf numFmtId="0" fontId="2" fillId="12" borderId="18" xfId="0" applyFont="1" applyFill="1" applyBorder="1" applyAlignment="1">
      <alignment vertical="center"/>
    </xf>
    <xf numFmtId="0" fontId="2" fillId="12" borderId="77" xfId="0" applyFont="1" applyFill="1" applyBorder="1" applyAlignment="1">
      <alignment vertical="center"/>
    </xf>
    <xf numFmtId="0" fontId="0" fillId="12" borderId="36" xfId="0" applyFill="1" applyBorder="1" applyAlignment="1">
      <alignment vertical="center"/>
    </xf>
    <xf numFmtId="0" fontId="8" fillId="12" borderId="35" xfId="8" applyFont="1" applyFill="1" applyBorder="1" applyAlignment="1" applyProtection="1">
      <alignment vertical="center"/>
    </xf>
    <xf numFmtId="0" fontId="15" fillId="12" borderId="35" xfId="0" applyFont="1" applyFill="1" applyBorder="1" applyAlignment="1">
      <alignment vertical="center"/>
    </xf>
    <xf numFmtId="0" fontId="0" fillId="12" borderId="35" xfId="0" applyFill="1" applyBorder="1" applyAlignment="1">
      <alignment vertical="center"/>
    </xf>
    <xf numFmtId="0" fontId="2" fillId="12" borderId="35" xfId="0" applyFont="1" applyFill="1" applyBorder="1" applyAlignment="1">
      <alignment vertical="center"/>
    </xf>
    <xf numFmtId="0" fontId="2" fillId="12" borderId="96" xfId="0" applyFont="1" applyFill="1" applyBorder="1" applyAlignment="1">
      <alignment vertical="center"/>
    </xf>
    <xf numFmtId="0" fontId="0" fillId="12" borderId="2" xfId="0" applyFill="1" applyBorder="1" applyAlignment="1">
      <alignment vertical="center"/>
    </xf>
    <xf numFmtId="0" fontId="8" fillId="12" borderId="0" xfId="8" applyFont="1" applyFill="1" applyBorder="1" applyAlignment="1" applyProtection="1">
      <alignment vertical="center"/>
    </xf>
    <xf numFmtId="0" fontId="15" fillId="12" borderId="0" xfId="0" applyFont="1" applyFill="1" applyBorder="1" applyAlignment="1">
      <alignment vertical="center"/>
    </xf>
    <xf numFmtId="0" fontId="95" fillId="12" borderId="0" xfId="8" applyFont="1" applyFill="1" applyBorder="1" applyAlignment="1" applyProtection="1">
      <alignment vertical="center"/>
    </xf>
    <xf numFmtId="0" fontId="0" fillId="12" borderId="3" xfId="0" applyFill="1" applyBorder="1" applyAlignment="1">
      <alignment vertical="center"/>
    </xf>
    <xf numFmtId="0" fontId="0" fillId="12" borderId="5" xfId="0" applyFill="1" applyBorder="1" applyAlignment="1">
      <alignment vertical="center"/>
    </xf>
    <xf numFmtId="0" fontId="93" fillId="12" borderId="5" xfId="0" applyFont="1" applyFill="1" applyBorder="1" applyAlignment="1">
      <alignment vertical="center"/>
    </xf>
    <xf numFmtId="0" fontId="2" fillId="12" borderId="5" xfId="0" applyFont="1" applyFill="1" applyBorder="1" applyAlignment="1">
      <alignment vertical="center"/>
    </xf>
    <xf numFmtId="0" fontId="2" fillId="12" borderId="6" xfId="0" applyFont="1" applyFill="1" applyBorder="1" applyAlignment="1">
      <alignment vertical="center"/>
    </xf>
    <xf numFmtId="0" fontId="0" fillId="12" borderId="0" xfId="0" applyFill="1"/>
    <xf numFmtId="0" fontId="0" fillId="12" borderId="24" xfId="0" applyFill="1" applyBorder="1" applyAlignment="1">
      <alignment vertical="center"/>
    </xf>
    <xf numFmtId="0" fontId="0" fillId="12" borderId="11" xfId="0" applyFill="1" applyBorder="1" applyAlignment="1">
      <alignment vertical="center"/>
    </xf>
    <xf numFmtId="0" fontId="2" fillId="12" borderId="11" xfId="0" applyFont="1" applyFill="1" applyBorder="1" applyAlignment="1">
      <alignment vertical="center"/>
    </xf>
    <xf numFmtId="0" fontId="25" fillId="12" borderId="11" xfId="0" applyFont="1" applyFill="1" applyBorder="1" applyAlignment="1">
      <alignment vertical="center"/>
    </xf>
    <xf numFmtId="172" fontId="102" fillId="12" borderId="23" xfId="0" applyNumberFormat="1" applyFont="1" applyFill="1" applyBorder="1" applyAlignment="1">
      <alignment horizontal="center" vertical="center"/>
    </xf>
    <xf numFmtId="0" fontId="22" fillId="0" borderId="11" xfId="0" applyFont="1" applyBorder="1" applyAlignment="1">
      <alignment vertical="center"/>
    </xf>
    <xf numFmtId="0" fontId="103" fillId="9" borderId="1" xfId="0" applyFont="1" applyFill="1" applyBorder="1" applyAlignment="1">
      <alignment horizontal="center" vertical="center"/>
    </xf>
    <xf numFmtId="0" fontId="105" fillId="9" borderId="1" xfId="0" applyFont="1" applyFill="1" applyBorder="1" applyAlignment="1">
      <alignment horizontal="center" vertical="center"/>
    </xf>
    <xf numFmtId="0" fontId="34" fillId="0" borderId="10" xfId="0" applyFont="1" applyBorder="1" applyAlignment="1">
      <alignment vertical="center"/>
    </xf>
    <xf numFmtId="9" fontId="0" fillId="5" borderId="2" xfId="7" applyFont="1" applyFill="1" applyBorder="1" applyAlignment="1">
      <alignment vertical="center"/>
    </xf>
    <xf numFmtId="9" fontId="86" fillId="5" borderId="2" xfId="7" applyFont="1" applyFill="1" applyBorder="1" applyAlignment="1">
      <alignment vertical="center"/>
    </xf>
    <xf numFmtId="9" fontId="0" fillId="0" borderId="2" xfId="7" applyFont="1" applyBorder="1" applyAlignment="1">
      <alignment vertical="center"/>
    </xf>
    <xf numFmtId="0" fontId="34" fillId="0" borderId="3" xfId="0" applyFont="1" applyBorder="1" applyAlignment="1">
      <alignment vertical="center"/>
    </xf>
    <xf numFmtId="0" fontId="107" fillId="13" borderId="0" xfId="0" applyFont="1" applyFill="1" applyBorder="1" applyAlignment="1">
      <alignment vertical="center"/>
    </xf>
    <xf numFmtId="0" fontId="106" fillId="12" borderId="0" xfId="0" applyFont="1" applyFill="1" applyBorder="1" applyAlignment="1">
      <alignment vertical="center"/>
    </xf>
    <xf numFmtId="9" fontId="0" fillId="5" borderId="3" xfId="7" applyFont="1" applyFill="1" applyBorder="1" applyAlignment="1">
      <alignment vertical="center"/>
    </xf>
    <xf numFmtId="0" fontId="35" fillId="0" borderId="11" xfId="0" applyFont="1" applyFill="1" applyBorder="1" applyAlignment="1" applyProtection="1">
      <alignment vertical="center"/>
    </xf>
    <xf numFmtId="3" fontId="35" fillId="0" borderId="24" xfId="7" applyNumberFormat="1" applyFont="1" applyFill="1" applyBorder="1" applyAlignment="1" applyProtection="1">
      <alignment horizontal="centerContinuous" vertical="center"/>
      <protection locked="0"/>
    </xf>
    <xf numFmtId="0" fontId="22" fillId="0" borderId="4" xfId="0" applyFont="1" applyFill="1" applyBorder="1" applyAlignment="1" applyProtection="1">
      <alignment vertical="center"/>
    </xf>
    <xf numFmtId="1" fontId="22" fillId="0" borderId="24" xfId="7" applyNumberFormat="1" applyFont="1" applyFill="1" applyBorder="1" applyAlignment="1" applyProtection="1">
      <alignment horizontal="centerContinuous" vertical="center"/>
    </xf>
    <xf numFmtId="1" fontId="22" fillId="0" borderId="24" xfId="0" applyNumberFormat="1" applyFont="1" applyFill="1" applyBorder="1" applyAlignment="1" applyProtection="1">
      <alignment horizontal="centerContinuous" vertical="center"/>
    </xf>
    <xf numFmtId="0" fontId="21" fillId="0" borderId="11" xfId="0" applyFont="1" applyFill="1" applyBorder="1" applyAlignment="1" applyProtection="1">
      <alignment vertical="center"/>
    </xf>
    <xf numFmtId="0" fontId="108" fillId="0" borderId="10" xfId="0" applyFont="1" applyFill="1" applyBorder="1" applyAlignment="1" applyProtection="1">
      <alignment horizontal="left" vertical="center"/>
    </xf>
    <xf numFmtId="0" fontId="21" fillId="0" borderId="0" xfId="0" applyFont="1" applyFill="1" applyBorder="1" applyAlignment="1" applyProtection="1">
      <alignment vertical="center"/>
    </xf>
    <xf numFmtId="0" fontId="21" fillId="0" borderId="0" xfId="8" applyFont="1" applyFill="1" applyBorder="1" applyAlignment="1" applyProtection="1">
      <alignment horizontal="left" vertical="center"/>
    </xf>
    <xf numFmtId="1" fontId="22" fillId="11" borderId="24" xfId="0" applyNumberFormat="1" applyFont="1" applyFill="1" applyBorder="1" applyAlignment="1" applyProtection="1">
      <alignment horizontal="centerContinuous" vertical="center"/>
    </xf>
    <xf numFmtId="3" fontId="35" fillId="11" borderId="24" xfId="7" applyNumberFormat="1" applyFont="1" applyFill="1" applyBorder="1" applyAlignment="1" applyProtection="1">
      <alignment horizontal="centerContinuous" vertical="center"/>
      <protection locked="0"/>
    </xf>
    <xf numFmtId="0" fontId="88" fillId="11" borderId="34" xfId="0" applyFont="1" applyFill="1" applyBorder="1" applyAlignment="1" applyProtection="1">
      <alignment horizontal="centerContinuous" vertical="center"/>
    </xf>
    <xf numFmtId="0" fontId="87" fillId="11" borderId="4" xfId="0" applyFont="1" applyFill="1" applyBorder="1" applyAlignment="1" applyProtection="1">
      <alignment horizontal="left" vertical="center"/>
    </xf>
    <xf numFmtId="0" fontId="0" fillId="0" borderId="0" xfId="0" applyAlignment="1">
      <alignment horizontal="right"/>
    </xf>
    <xf numFmtId="0" fontId="0" fillId="0" borderId="0" xfId="0" applyFill="1" applyBorder="1" applyAlignment="1">
      <alignment vertical="top"/>
    </xf>
    <xf numFmtId="0" fontId="110" fillId="4" borderId="58" xfId="0" applyFont="1" applyFill="1" applyBorder="1" applyProtection="1"/>
    <xf numFmtId="0" fontId="8" fillId="0" borderId="4" xfId="0" applyFont="1" applyBorder="1" applyAlignment="1" applyProtection="1">
      <alignment horizontal="center" vertical="center"/>
    </xf>
    <xf numFmtId="0" fontId="111" fillId="0" borderId="1" xfId="0" applyFont="1" applyBorder="1" applyProtection="1"/>
    <xf numFmtId="170" fontId="27" fillId="4" borderId="70" xfId="0" applyNumberFormat="1" applyFont="1" applyFill="1" applyBorder="1" applyAlignment="1" applyProtection="1">
      <alignment vertical="center"/>
    </xf>
    <xf numFmtId="178" fontId="8" fillId="4" borderId="1" xfId="0" applyNumberFormat="1" applyFont="1" applyFill="1" applyBorder="1" applyAlignment="1" applyProtection="1">
      <alignment vertical="center"/>
      <protection hidden="1"/>
    </xf>
    <xf numFmtId="171" fontId="8" fillId="4" borderId="1" xfId="0" applyNumberFormat="1" applyFont="1" applyFill="1" applyBorder="1" applyAlignment="1" applyProtection="1">
      <alignment vertical="center"/>
      <protection hidden="1"/>
    </xf>
    <xf numFmtId="171" fontId="8" fillId="9" borderId="1" xfId="0" applyNumberFormat="1" applyFont="1" applyFill="1" applyBorder="1" applyAlignment="1" applyProtection="1">
      <alignment vertical="center"/>
      <protection locked="0" hidden="1"/>
    </xf>
    <xf numFmtId="178" fontId="8" fillId="9" borderId="1" xfId="0" applyNumberFormat="1" applyFont="1" applyFill="1" applyBorder="1" applyAlignment="1" applyProtection="1">
      <alignment vertical="center"/>
      <protection locked="0" hidden="1"/>
    </xf>
    <xf numFmtId="170" fontId="8" fillId="9" borderId="58" xfId="0" applyNumberFormat="1" applyFont="1" applyFill="1" applyBorder="1" applyAlignment="1" applyProtection="1">
      <alignment vertical="center"/>
      <protection locked="0" hidden="1"/>
    </xf>
    <xf numFmtId="170" fontId="8" fillId="3" borderId="58" xfId="0" applyNumberFormat="1" applyFont="1" applyFill="1" applyBorder="1" applyAlignment="1" applyProtection="1">
      <alignment vertical="center"/>
      <protection hidden="1"/>
    </xf>
    <xf numFmtId="0" fontId="74" fillId="0" borderId="59" xfId="0" applyFont="1" applyBorder="1" applyAlignment="1" applyProtection="1">
      <alignment horizontal="centerContinuous" vertical="center"/>
    </xf>
    <xf numFmtId="0" fontId="74" fillId="0" borderId="1" xfId="0" applyFont="1" applyBorder="1" applyAlignment="1" applyProtection="1">
      <alignment horizontal="centerContinuous"/>
    </xf>
    <xf numFmtId="0" fontId="7" fillId="0" borderId="59" xfId="0" applyFont="1" applyBorder="1" applyAlignment="1" applyProtection="1">
      <alignment horizontal="left"/>
    </xf>
    <xf numFmtId="0" fontId="7" fillId="0" borderId="1" xfId="0" applyFont="1" applyBorder="1" applyProtection="1"/>
    <xf numFmtId="0" fontId="7" fillId="0" borderId="59" xfId="0" applyFont="1" applyBorder="1" applyProtection="1"/>
    <xf numFmtId="0" fontId="74" fillId="0" borderId="59" xfId="0" applyFont="1" applyBorder="1" applyAlignment="1" applyProtection="1">
      <alignment horizontal="center" vertical="center"/>
    </xf>
    <xf numFmtId="0" fontId="74" fillId="0" borderId="1" xfId="0" applyFont="1" applyBorder="1" applyAlignment="1" applyProtection="1">
      <alignment horizontal="center" vertical="center"/>
    </xf>
    <xf numFmtId="178" fontId="7" fillId="2" borderId="59" xfId="0" applyNumberFormat="1" applyFont="1" applyFill="1" applyBorder="1" applyAlignment="1" applyProtection="1">
      <alignment vertical="center"/>
      <protection locked="0" hidden="1"/>
    </xf>
    <xf numFmtId="170" fontId="7" fillId="0" borderId="1" xfId="0" applyNumberFormat="1" applyFont="1" applyBorder="1" applyAlignment="1" applyProtection="1">
      <alignment vertical="center"/>
    </xf>
    <xf numFmtId="171" fontId="7" fillId="2" borderId="59" xfId="0" applyNumberFormat="1" applyFont="1" applyFill="1" applyBorder="1" applyAlignment="1" applyProtection="1">
      <alignment vertical="center"/>
      <protection locked="0" hidden="1"/>
    </xf>
    <xf numFmtId="0" fontId="7" fillId="0" borderId="59" xfId="0" applyFont="1" applyBorder="1" applyAlignment="1" applyProtection="1">
      <alignment vertical="center"/>
    </xf>
    <xf numFmtId="170" fontId="7" fillId="2" borderId="1" xfId="0" applyNumberFormat="1" applyFont="1" applyFill="1" applyBorder="1" applyAlignment="1" applyProtection="1">
      <alignment vertical="center"/>
      <protection locked="0" hidden="1"/>
    </xf>
    <xf numFmtId="0" fontId="74" fillId="0" borderId="60" xfId="0" applyFont="1" applyBorder="1" applyAlignment="1" applyProtection="1">
      <alignment vertical="center"/>
    </xf>
    <xf numFmtId="170" fontId="74" fillId="0" borderId="69" xfId="0" applyNumberFormat="1" applyFont="1" applyFill="1" applyBorder="1" applyAlignment="1" applyProtection="1">
      <alignment vertical="center"/>
    </xf>
    <xf numFmtId="0" fontId="74" fillId="0" borderId="1" xfId="0" applyFont="1" applyBorder="1" applyAlignment="1" applyProtection="1">
      <alignment horizontal="centerContinuous" vertical="center"/>
    </xf>
    <xf numFmtId="178" fontId="7" fillId="4" borderId="59" xfId="0" applyNumberFormat="1" applyFont="1" applyFill="1" applyBorder="1" applyAlignment="1" applyProtection="1">
      <alignment vertical="center"/>
      <protection hidden="1"/>
    </xf>
    <xf numFmtId="170" fontId="7" fillId="4" borderId="1" xfId="0" applyNumberFormat="1" applyFont="1" applyFill="1" applyBorder="1" applyAlignment="1" applyProtection="1">
      <alignment vertical="center"/>
      <protection locked="0" hidden="1"/>
    </xf>
    <xf numFmtId="0" fontId="80" fillId="0" borderId="0" xfId="0" applyFont="1" applyBorder="1" applyAlignment="1" applyProtection="1">
      <alignment vertical="center"/>
    </xf>
    <xf numFmtId="0" fontId="0" fillId="0" borderId="34" xfId="0" applyFill="1" applyBorder="1"/>
    <xf numFmtId="0" fontId="8" fillId="0" borderId="0" xfId="0" applyFont="1" applyBorder="1"/>
    <xf numFmtId="0" fontId="8" fillId="0" borderId="11" xfId="0" applyFont="1" applyBorder="1"/>
    <xf numFmtId="0" fontId="8" fillId="0" borderId="20" xfId="0" applyFont="1" applyBorder="1"/>
    <xf numFmtId="0" fontId="8" fillId="0" borderId="1" xfId="0" applyFont="1" applyBorder="1"/>
    <xf numFmtId="0" fontId="8" fillId="0" borderId="23" xfId="0" applyFont="1" applyBorder="1"/>
    <xf numFmtId="0" fontId="8" fillId="0" borderId="33" xfId="0" applyFont="1" applyBorder="1"/>
    <xf numFmtId="1" fontId="0" fillId="0" borderId="11" xfId="0" applyNumberFormat="1" applyBorder="1"/>
    <xf numFmtId="0" fontId="20" fillId="0" borderId="24" xfId="0" applyFont="1" applyBorder="1"/>
    <xf numFmtId="0" fontId="21" fillId="0" borderId="10" xfId="0" applyFont="1" applyBorder="1"/>
    <xf numFmtId="0" fontId="20" fillId="0" borderId="24" xfId="0" applyFont="1" applyBorder="1" applyAlignment="1">
      <alignment horizontal="right"/>
    </xf>
    <xf numFmtId="0" fontId="21" fillId="0" borderId="34" xfId="0" applyFont="1" applyBorder="1"/>
    <xf numFmtId="0" fontId="20" fillId="0" borderId="34" xfId="0" applyFont="1" applyBorder="1"/>
    <xf numFmtId="0" fontId="20" fillId="0" borderId="2" xfId="0" applyFont="1" applyBorder="1"/>
    <xf numFmtId="0" fontId="8" fillId="0" borderId="2" xfId="0" applyFont="1" applyBorder="1"/>
    <xf numFmtId="0" fontId="8" fillId="0" borderId="12" xfId="0" applyFont="1" applyBorder="1"/>
    <xf numFmtId="0" fontId="8" fillId="0" borderId="24" xfId="0" applyFont="1" applyBorder="1"/>
    <xf numFmtId="0" fontId="8" fillId="0" borderId="3" xfId="0" applyFont="1" applyBorder="1"/>
    <xf numFmtId="0" fontId="8" fillId="0" borderId="5" xfId="0" applyFont="1" applyBorder="1"/>
    <xf numFmtId="0" fontId="8" fillId="10" borderId="23" xfId="0" applyFont="1" applyFill="1" applyBorder="1"/>
    <xf numFmtId="0" fontId="65" fillId="0" borderId="75" xfId="4" applyFill="1" applyBorder="1" applyAlignment="1" applyProtection="1">
      <alignment horizontal="left" vertical="center"/>
    </xf>
    <xf numFmtId="0" fontId="81" fillId="0" borderId="73" xfId="0" applyFont="1" applyFill="1" applyBorder="1" applyAlignment="1">
      <alignment horizontal="center"/>
    </xf>
    <xf numFmtId="0" fontId="78" fillId="10" borderId="0" xfId="0" applyFont="1" applyFill="1" applyBorder="1" applyAlignment="1" applyProtection="1">
      <alignment horizontal="center" vertical="center"/>
    </xf>
    <xf numFmtId="0" fontId="78" fillId="10" borderId="97" xfId="0" applyFont="1" applyFill="1" applyBorder="1" applyAlignment="1" applyProtection="1">
      <alignment horizontal="right" vertical="center"/>
    </xf>
    <xf numFmtId="0" fontId="81" fillId="10" borderId="0" xfId="0" applyFont="1" applyFill="1"/>
    <xf numFmtId="0" fontId="65" fillId="0" borderId="0" xfId="4" applyFill="1" applyBorder="1" applyAlignment="1" applyProtection="1">
      <alignment vertical="center"/>
    </xf>
    <xf numFmtId="0" fontId="112" fillId="12" borderId="11" xfId="8" applyFont="1" applyFill="1" applyBorder="1" applyAlignment="1" applyProtection="1">
      <alignment vertical="center"/>
    </xf>
    <xf numFmtId="0" fontId="0" fillId="0" borderId="0" xfId="0" applyFill="1" applyBorder="1" applyAlignment="1"/>
    <xf numFmtId="0" fontId="113" fillId="0" borderId="0" xfId="0" applyFont="1" applyBorder="1" applyAlignment="1">
      <alignment vertical="center"/>
    </xf>
    <xf numFmtId="0" fontId="114" fillId="0" borderId="0" xfId="0" applyFont="1" applyBorder="1" applyAlignment="1">
      <alignment vertical="center"/>
    </xf>
    <xf numFmtId="0" fontId="21" fillId="12" borderId="18" xfId="8" applyFont="1" applyFill="1" applyBorder="1" applyAlignment="1" applyProtection="1">
      <alignment vertical="center"/>
    </xf>
    <xf numFmtId="0" fontId="15" fillId="14" borderId="0" xfId="0" applyFont="1" applyFill="1" applyBorder="1" applyAlignment="1">
      <alignment vertical="center"/>
    </xf>
    <xf numFmtId="0" fontId="0" fillId="14" borderId="0" xfId="0" applyFill="1" applyBorder="1" applyAlignment="1">
      <alignment vertical="center"/>
    </xf>
    <xf numFmtId="0" fontId="25" fillId="2" borderId="0" xfId="0" applyFont="1" applyFill="1" applyBorder="1" applyAlignment="1" applyProtection="1">
      <alignment horizontal="center" vertical="center"/>
      <protection locked="0"/>
    </xf>
    <xf numFmtId="170" fontId="15" fillId="0" borderId="6" xfId="0" applyNumberFormat="1" applyFont="1" applyBorder="1" applyAlignment="1" applyProtection="1">
      <alignment horizontal="right" vertical="center"/>
    </xf>
    <xf numFmtId="170" fontId="15" fillId="11" borderId="6" xfId="0" applyNumberFormat="1" applyFont="1" applyFill="1" applyBorder="1" applyAlignment="1" applyProtection="1">
      <alignment horizontal="right" vertical="center"/>
    </xf>
    <xf numFmtId="181" fontId="15" fillId="2" borderId="56" xfId="0" applyNumberFormat="1" applyFont="1" applyFill="1" applyBorder="1" applyAlignment="1" applyProtection="1">
      <alignment horizontal="right" vertical="center"/>
      <protection locked="0"/>
    </xf>
    <xf numFmtId="0" fontId="34" fillId="0" borderId="7" xfId="0" applyFont="1" applyBorder="1" applyAlignment="1" applyProtection="1">
      <alignment vertical="center"/>
    </xf>
    <xf numFmtId="0" fontId="4" fillId="0" borderId="8" xfId="0" applyFont="1" applyBorder="1" applyAlignment="1" applyProtection="1">
      <alignment vertical="center"/>
    </xf>
    <xf numFmtId="0" fontId="0" fillId="0" borderId="8" xfId="0" applyBorder="1" applyAlignment="1" applyProtection="1">
      <alignment vertical="center"/>
    </xf>
    <xf numFmtId="0" fontId="4" fillId="0" borderId="9" xfId="0" applyFont="1" applyBorder="1" applyAlignment="1" applyProtection="1">
      <alignment horizontal="left" vertical="center"/>
    </xf>
    <xf numFmtId="0" fontId="34" fillId="0" borderId="86" xfId="0" applyFont="1" applyBorder="1" applyAlignment="1" applyProtection="1">
      <alignment vertical="center"/>
    </xf>
    <xf numFmtId="0" fontId="15" fillId="0" borderId="87" xfId="0" applyFont="1" applyBorder="1" applyAlignment="1" applyProtection="1">
      <alignment horizontal="left" vertical="center"/>
    </xf>
    <xf numFmtId="0" fontId="34" fillId="0" borderId="84" xfId="0" applyFont="1" applyBorder="1" applyAlignment="1" applyProtection="1">
      <alignment vertical="center"/>
    </xf>
    <xf numFmtId="0" fontId="2" fillId="0" borderId="85" xfId="0" applyFont="1" applyBorder="1" applyAlignment="1" applyProtection="1">
      <alignment horizontal="left" vertical="center"/>
    </xf>
    <xf numFmtId="0" fontId="34" fillId="0" borderId="72" xfId="0" applyFont="1" applyBorder="1" applyAlignment="1" applyProtection="1">
      <alignment vertical="center"/>
    </xf>
    <xf numFmtId="0" fontId="2" fillId="0" borderId="73" xfId="0" applyFont="1" applyBorder="1" applyAlignment="1" applyProtection="1">
      <alignment horizontal="left" vertical="center"/>
    </xf>
    <xf numFmtId="0" fontId="8" fillId="0" borderId="87" xfId="0" applyFont="1" applyBorder="1" applyAlignment="1" applyProtection="1">
      <alignment horizontal="left" vertical="center"/>
    </xf>
    <xf numFmtId="0" fontId="25" fillId="0" borderId="84" xfId="8" applyFont="1" applyBorder="1" applyAlignment="1" applyProtection="1">
      <alignment vertical="center"/>
    </xf>
    <xf numFmtId="183" fontId="8" fillId="4" borderId="85" xfId="8" applyNumberFormat="1" applyFont="1" applyFill="1" applyBorder="1" applyAlignment="1" applyProtection="1">
      <alignment horizontal="left" vertical="center"/>
    </xf>
    <xf numFmtId="0" fontId="0" fillId="0" borderId="73" xfId="0" applyBorder="1" applyAlignment="1" applyProtection="1">
      <alignment vertical="center"/>
    </xf>
    <xf numFmtId="0" fontId="8" fillId="0" borderId="73" xfId="0" applyFont="1" applyBorder="1" applyAlignment="1" applyProtection="1">
      <alignment horizontal="left" vertical="center"/>
    </xf>
    <xf numFmtId="0" fontId="15" fillId="0" borderId="73" xfId="0" applyFont="1" applyBorder="1" applyAlignment="1" applyProtection="1">
      <alignment horizontal="left" vertical="center"/>
    </xf>
    <xf numFmtId="0" fontId="25" fillId="0" borderId="86" xfId="0" applyFont="1" applyBorder="1" applyAlignment="1" applyProtection="1">
      <alignment vertical="center"/>
    </xf>
    <xf numFmtId="0" fontId="25" fillId="0" borderId="72" xfId="0" applyFont="1" applyBorder="1" applyAlignment="1" applyProtection="1">
      <alignment vertical="center"/>
    </xf>
    <xf numFmtId="0" fontId="34" fillId="0" borderId="98" xfId="8" applyFont="1" applyBorder="1" applyAlignment="1" applyProtection="1">
      <alignment vertical="center"/>
    </xf>
    <xf numFmtId="0" fontId="8" fillId="0" borderId="99" xfId="0" applyFont="1" applyBorder="1" applyAlignment="1" applyProtection="1">
      <alignment horizontal="left" vertical="center"/>
    </xf>
    <xf numFmtId="0" fontId="34" fillId="0" borderId="100" xfId="8" applyFont="1" applyBorder="1" applyAlignment="1" applyProtection="1">
      <alignment vertical="center"/>
    </xf>
    <xf numFmtId="0" fontId="2" fillId="0" borderId="101" xfId="0" applyFont="1" applyBorder="1" applyAlignment="1" applyProtection="1">
      <alignment horizontal="left" vertical="center"/>
    </xf>
    <xf numFmtId="0" fontId="25" fillId="0" borderId="72" xfId="8" applyFont="1" applyBorder="1" applyAlignment="1" applyProtection="1">
      <alignment vertical="center"/>
    </xf>
    <xf numFmtId="0" fontId="34" fillId="0" borderId="72" xfId="8" applyFont="1" applyBorder="1" applyAlignment="1" applyProtection="1">
      <alignment vertical="center"/>
    </xf>
    <xf numFmtId="0" fontId="15" fillId="0" borderId="73" xfId="0" applyFont="1" applyBorder="1" applyAlignment="1" applyProtection="1">
      <alignment horizontal="right" vertical="center"/>
    </xf>
    <xf numFmtId="0" fontId="15" fillId="4" borderId="85" xfId="0" applyFont="1" applyFill="1" applyBorder="1" applyAlignment="1" applyProtection="1">
      <alignment horizontal="left" vertical="center"/>
    </xf>
    <xf numFmtId="0" fontId="34" fillId="0" borderId="86" xfId="8" applyFont="1" applyBorder="1" applyAlignment="1" applyProtection="1">
      <alignment vertical="center"/>
    </xf>
    <xf numFmtId="0" fontId="25" fillId="0" borderId="86" xfId="8" applyFont="1" applyBorder="1" applyAlignment="1" applyProtection="1">
      <alignment vertical="center"/>
    </xf>
    <xf numFmtId="0" fontId="15" fillId="0" borderId="73" xfId="8" applyFont="1" applyBorder="1" applyAlignment="1" applyProtection="1">
      <alignment horizontal="right" vertical="center"/>
    </xf>
    <xf numFmtId="0" fontId="34" fillId="0" borderId="84" xfId="8" applyFont="1" applyBorder="1" applyAlignment="1" applyProtection="1">
      <alignment vertical="center"/>
    </xf>
    <xf numFmtId="0" fontId="8" fillId="0" borderId="87" xfId="8" applyFont="1" applyFill="1" applyBorder="1" applyAlignment="1" applyProtection="1">
      <alignment horizontal="left" vertical="center"/>
    </xf>
    <xf numFmtId="0" fontId="15" fillId="0" borderId="85" xfId="8" applyFont="1" applyBorder="1" applyAlignment="1" applyProtection="1">
      <alignment horizontal="left" vertical="center"/>
    </xf>
    <xf numFmtId="0" fontId="8" fillId="0" borderId="73" xfId="8" applyFont="1" applyFill="1" applyBorder="1" applyAlignment="1" applyProtection="1">
      <alignment horizontal="left" vertical="center"/>
    </xf>
    <xf numFmtId="0" fontId="6" fillId="0" borderId="86" xfId="0" applyFont="1" applyBorder="1" applyAlignment="1" applyProtection="1">
      <alignment vertical="center"/>
    </xf>
    <xf numFmtId="0" fontId="25" fillId="0" borderId="74" xfId="0" applyFont="1" applyBorder="1" applyAlignment="1" applyProtection="1">
      <alignment vertical="center"/>
    </xf>
    <xf numFmtId="0" fontId="0" fillId="0" borderId="75" xfId="0" applyBorder="1" applyAlignment="1" applyProtection="1">
      <alignment vertical="center"/>
    </xf>
    <xf numFmtId="0" fontId="25" fillId="0" borderId="75" xfId="0" applyFont="1" applyBorder="1" applyAlignment="1" applyProtection="1">
      <alignment vertical="center"/>
    </xf>
    <xf numFmtId="0" fontId="15" fillId="0" borderId="76" xfId="0" applyFont="1" applyBorder="1" applyAlignment="1" applyProtection="1">
      <alignment horizontal="left" vertical="center"/>
    </xf>
    <xf numFmtId="0" fontId="20" fillId="0" borderId="8" xfId="0" applyFont="1" applyBorder="1" applyAlignment="1" applyProtection="1">
      <alignment vertical="center"/>
    </xf>
    <xf numFmtId="1" fontId="4" fillId="4" borderId="102" xfId="7" applyNumberFormat="1" applyFont="1" applyFill="1" applyBorder="1" applyAlignment="1" applyProtection="1">
      <alignment horizontal="centerContinuous" vertical="center"/>
    </xf>
    <xf numFmtId="172" fontId="4" fillId="0" borderId="103" xfId="7" applyNumberFormat="1" applyFont="1" applyBorder="1" applyAlignment="1" applyProtection="1">
      <alignment horizontal="centerContinuous" vertical="center"/>
    </xf>
    <xf numFmtId="1" fontId="4" fillId="11" borderId="104" xfId="0" applyNumberFormat="1" applyFont="1" applyFill="1" applyBorder="1" applyAlignment="1" applyProtection="1">
      <alignment horizontal="centerContinuous" vertical="center"/>
    </xf>
    <xf numFmtId="172" fontId="4" fillId="11" borderId="103" xfId="7" applyNumberFormat="1" applyFont="1" applyFill="1" applyBorder="1" applyAlignment="1" applyProtection="1">
      <alignment horizontal="centerContinuous" vertical="center"/>
    </xf>
    <xf numFmtId="1" fontId="4" fillId="4" borderId="104" xfId="0" applyNumberFormat="1" applyFont="1" applyFill="1" applyBorder="1" applyAlignment="1" applyProtection="1">
      <alignment horizontal="centerContinuous" vertical="center"/>
    </xf>
    <xf numFmtId="3" fontId="6" fillId="2" borderId="86" xfId="7" applyNumberFormat="1" applyFont="1" applyFill="1" applyBorder="1" applyAlignment="1" applyProtection="1">
      <alignment horizontal="centerContinuous" vertical="center"/>
      <protection locked="0"/>
    </xf>
    <xf numFmtId="3" fontId="15" fillId="2" borderId="84" xfId="7" applyNumberFormat="1" applyFont="1" applyFill="1" applyBorder="1" applyAlignment="1" applyProtection="1">
      <alignment horizontal="centerContinuous" vertical="center"/>
      <protection locked="0"/>
    </xf>
    <xf numFmtId="3" fontId="18" fillId="4" borderId="105" xfId="7" applyNumberFormat="1" applyFont="1" applyFill="1" applyBorder="1" applyAlignment="1" applyProtection="1">
      <alignment horizontal="right" vertical="center"/>
    </xf>
    <xf numFmtId="3" fontId="19" fillId="4" borderId="105" xfId="7" applyNumberFormat="1" applyFont="1" applyFill="1" applyBorder="1" applyAlignment="1" applyProtection="1">
      <alignment horizontal="center" vertical="center"/>
    </xf>
    <xf numFmtId="3" fontId="18" fillId="4" borderId="105" xfId="7" applyNumberFormat="1" applyFont="1" applyFill="1" applyBorder="1" applyAlignment="1" applyProtection="1">
      <alignment horizontal="center" vertical="center"/>
    </xf>
    <xf numFmtId="1" fontId="34" fillId="4" borderId="86" xfId="0" applyNumberFormat="1" applyFont="1" applyFill="1" applyBorder="1" applyAlignment="1" applyProtection="1">
      <alignment horizontal="right" vertical="center"/>
    </xf>
    <xf numFmtId="2" fontId="15" fillId="0" borderId="84" xfId="0" applyNumberFormat="1" applyFont="1" applyBorder="1" applyAlignment="1">
      <alignment horizontal="right" vertical="center"/>
    </xf>
    <xf numFmtId="180" fontId="6" fillId="0" borderId="73" xfId="0" applyNumberFormat="1" applyFont="1" applyBorder="1" applyAlignment="1" applyProtection="1">
      <alignment horizontal="right" vertical="center"/>
    </xf>
    <xf numFmtId="0" fontId="0" fillId="0" borderId="72" xfId="0" applyBorder="1"/>
    <xf numFmtId="0" fontId="0" fillId="11" borderId="0" xfId="0" applyFill="1" applyBorder="1"/>
    <xf numFmtId="171" fontId="15" fillId="2" borderId="72" xfId="7" applyNumberFormat="1" applyFont="1" applyFill="1" applyBorder="1" applyAlignment="1" applyProtection="1">
      <alignment horizontal="right" vertical="center"/>
      <protection locked="0"/>
    </xf>
    <xf numFmtId="4" fontId="25" fillId="4" borderId="72" xfId="7" applyNumberFormat="1" applyFont="1" applyFill="1" applyBorder="1" applyAlignment="1" applyProtection="1">
      <alignment horizontal="center" vertical="center"/>
    </xf>
    <xf numFmtId="179" fontId="15" fillId="2" borderId="72" xfId="7" applyNumberFormat="1" applyFont="1" applyFill="1" applyBorder="1" applyAlignment="1" applyProtection="1">
      <alignment horizontal="right" vertical="center"/>
      <protection locked="0"/>
    </xf>
    <xf numFmtId="3" fontId="25" fillId="4" borderId="72" xfId="7" applyNumberFormat="1" applyFont="1" applyFill="1" applyBorder="1" applyAlignment="1" applyProtection="1">
      <alignment horizontal="center" vertical="center"/>
    </xf>
    <xf numFmtId="172" fontId="34" fillId="0" borderId="86" xfId="7" applyNumberFormat="1" applyFont="1" applyBorder="1" applyAlignment="1" applyProtection="1">
      <alignment vertical="center"/>
    </xf>
    <xf numFmtId="180" fontId="6" fillId="0" borderId="87" xfId="7" applyNumberFormat="1" applyFont="1" applyBorder="1" applyAlignment="1" applyProtection="1">
      <alignment horizontal="right" vertical="center"/>
    </xf>
    <xf numFmtId="180" fontId="6" fillId="0" borderId="73" xfId="7" applyNumberFormat="1" applyFont="1" applyBorder="1" applyAlignment="1" applyProtection="1">
      <alignment horizontal="right" vertical="center"/>
    </xf>
    <xf numFmtId="172" fontId="25" fillId="0" borderId="86" xfId="0" applyNumberFormat="1" applyFont="1" applyBorder="1" applyAlignment="1" applyProtection="1">
      <alignment vertical="center"/>
    </xf>
    <xf numFmtId="172" fontId="34" fillId="0" borderId="98" xfId="0" applyNumberFormat="1" applyFont="1" applyBorder="1" applyAlignment="1" applyProtection="1">
      <alignment horizontal="right" vertical="center"/>
    </xf>
    <xf numFmtId="181" fontId="15" fillId="4" borderId="106" xfId="0" applyNumberFormat="1" applyFont="1" applyFill="1" applyBorder="1" applyAlignment="1" applyProtection="1">
      <alignment horizontal="right" vertical="center"/>
    </xf>
    <xf numFmtId="180" fontId="8" fillId="0" borderId="107" xfId="0" applyNumberFormat="1" applyFont="1" applyBorder="1" applyAlignment="1" applyProtection="1">
      <alignment horizontal="right" vertical="center"/>
    </xf>
    <xf numFmtId="181" fontId="15" fillId="4" borderId="72" xfId="0" applyNumberFormat="1" applyFont="1" applyFill="1" applyBorder="1" applyAlignment="1" applyProtection="1">
      <alignment horizontal="right" vertical="center"/>
    </xf>
    <xf numFmtId="181" fontId="15" fillId="2" borderId="72" xfId="0" applyNumberFormat="1" applyFont="1" applyFill="1" applyBorder="1" applyAlignment="1" applyProtection="1">
      <alignment horizontal="right" vertical="center"/>
      <protection locked="0"/>
    </xf>
    <xf numFmtId="181" fontId="15" fillId="2" borderId="108" xfId="0" applyNumberFormat="1" applyFont="1" applyFill="1" applyBorder="1" applyAlignment="1" applyProtection="1">
      <alignment horizontal="right" vertical="center"/>
      <protection locked="0"/>
    </xf>
    <xf numFmtId="177" fontId="15" fillId="0" borderId="86" xfId="0" applyNumberFormat="1" applyFont="1" applyBorder="1" applyAlignment="1" applyProtection="1">
      <alignment horizontal="right" vertical="center"/>
    </xf>
    <xf numFmtId="1" fontId="15" fillId="2" borderId="72" xfId="0" applyNumberFormat="1" applyFont="1" applyFill="1" applyBorder="1" applyAlignment="1" applyProtection="1">
      <alignment horizontal="right"/>
      <protection locked="0"/>
    </xf>
    <xf numFmtId="1" fontId="15" fillId="2" borderId="72" xfId="0" applyNumberFormat="1" applyFont="1" applyFill="1" applyBorder="1" applyAlignment="1" applyProtection="1">
      <alignment horizontal="right" vertical="center"/>
      <protection locked="0"/>
    </xf>
    <xf numFmtId="170" fontId="15" fillId="4" borderId="72" xfId="0" applyNumberFormat="1" applyFont="1" applyFill="1" applyBorder="1" applyAlignment="1" applyProtection="1">
      <alignment horizontal="right" vertical="center"/>
    </xf>
    <xf numFmtId="170" fontId="15" fillId="4" borderId="84" xfId="0" applyNumberFormat="1" applyFont="1" applyFill="1" applyBorder="1" applyAlignment="1" applyProtection="1">
      <alignment horizontal="right" vertical="center"/>
    </xf>
    <xf numFmtId="179" fontId="25" fillId="4" borderId="72" xfId="7" applyNumberFormat="1" applyFont="1" applyFill="1" applyBorder="1" applyAlignment="1" applyProtection="1">
      <alignment vertical="center"/>
    </xf>
    <xf numFmtId="180" fontId="15" fillId="2" borderId="84" xfId="7" applyNumberFormat="1" applyFont="1" applyFill="1" applyBorder="1" applyAlignment="1" applyProtection="1">
      <alignment vertical="center"/>
      <protection locked="0"/>
    </xf>
    <xf numFmtId="180" fontId="25" fillId="0" borderId="86" xfId="0" applyNumberFormat="1" applyFont="1" applyBorder="1" applyAlignment="1" applyProtection="1">
      <alignment vertical="center"/>
    </xf>
    <xf numFmtId="2" fontId="15" fillId="0" borderId="72" xfId="0" applyNumberFormat="1" applyFont="1" applyBorder="1" applyAlignment="1">
      <alignment vertical="center"/>
    </xf>
    <xf numFmtId="0" fontId="5" fillId="0" borderId="8" xfId="0" applyFont="1" applyBorder="1" applyAlignment="1">
      <alignment vertical="center"/>
    </xf>
    <xf numFmtId="0" fontId="12" fillId="0" borderId="8" xfId="0" applyFont="1" applyBorder="1" applyAlignment="1">
      <alignment vertical="center"/>
    </xf>
    <xf numFmtId="0" fontId="12" fillId="0" borderId="9" xfId="0" applyFont="1" applyBorder="1" applyAlignment="1">
      <alignment vertical="center"/>
    </xf>
    <xf numFmtId="0" fontId="12" fillId="0" borderId="87" xfId="0" applyFont="1" applyBorder="1" applyAlignment="1">
      <alignment vertical="center"/>
    </xf>
    <xf numFmtId="0" fontId="12" fillId="0" borderId="81" xfId="0" applyFont="1" applyBorder="1" applyAlignment="1">
      <alignment vertical="center"/>
    </xf>
    <xf numFmtId="0" fontId="12" fillId="0" borderId="73" xfId="0" applyFont="1" applyBorder="1" applyAlignment="1">
      <alignment vertical="center"/>
    </xf>
    <xf numFmtId="0" fontId="12" fillId="0" borderId="73" xfId="0" applyFont="1" applyFill="1" applyBorder="1" applyAlignment="1">
      <alignment vertical="center"/>
    </xf>
    <xf numFmtId="0" fontId="8" fillId="0" borderId="72" xfId="8" applyFont="1" applyBorder="1" applyAlignment="1" applyProtection="1">
      <alignment vertical="center"/>
    </xf>
    <xf numFmtId="0" fontId="12" fillId="0" borderId="73" xfId="8" applyFont="1" applyFill="1" applyBorder="1" applyAlignment="1" applyProtection="1">
      <alignment vertical="center"/>
    </xf>
    <xf numFmtId="0" fontId="12" fillId="0" borderId="73" xfId="8" applyFont="1" applyBorder="1" applyAlignment="1" applyProtection="1">
      <alignment vertical="center"/>
    </xf>
    <xf numFmtId="9" fontId="12" fillId="0" borderId="73" xfId="8" applyNumberFormat="1" applyFont="1" applyBorder="1" applyAlignment="1" applyProtection="1">
      <alignment vertical="center"/>
    </xf>
    <xf numFmtId="0" fontId="5" fillId="0" borderId="87" xfId="8" applyFont="1" applyBorder="1" applyAlignment="1" applyProtection="1">
      <alignment vertical="center"/>
    </xf>
    <xf numFmtId="0" fontId="12" fillId="4" borderId="73" xfId="8" applyFont="1" applyFill="1" applyBorder="1" applyAlignment="1" applyProtection="1">
      <alignment vertical="center"/>
    </xf>
    <xf numFmtId="0" fontId="12" fillId="0" borderId="85" xfId="0" applyFont="1" applyBorder="1" applyAlignment="1">
      <alignment vertical="center"/>
    </xf>
    <xf numFmtId="0" fontId="12" fillId="11" borderId="73" xfId="0" applyFont="1" applyFill="1" applyBorder="1" applyAlignment="1">
      <alignment vertical="center"/>
    </xf>
    <xf numFmtId="0" fontId="12" fillId="11" borderId="73" xfId="8" applyFont="1" applyFill="1" applyBorder="1" applyAlignment="1" applyProtection="1">
      <alignment vertical="center"/>
    </xf>
    <xf numFmtId="0" fontId="12" fillId="4" borderId="85" xfId="8" applyFont="1" applyFill="1" applyBorder="1" applyAlignment="1" applyProtection="1">
      <alignment vertical="center"/>
    </xf>
    <xf numFmtId="0" fontId="12" fillId="11" borderId="85" xfId="8" applyFont="1" applyFill="1" applyBorder="1" applyAlignment="1" applyProtection="1">
      <alignment vertical="top"/>
    </xf>
    <xf numFmtId="0" fontId="0" fillId="0" borderId="73" xfId="0" applyBorder="1"/>
    <xf numFmtId="0" fontId="12" fillId="0" borderId="85" xfId="8" applyFont="1" applyBorder="1" applyAlignment="1" applyProtection="1">
      <alignment vertical="center"/>
    </xf>
    <xf numFmtId="173" fontId="5" fillId="4" borderId="109" xfId="0" applyNumberFormat="1" applyFont="1" applyFill="1" applyBorder="1" applyAlignment="1">
      <alignment horizontal="center" vertical="center"/>
    </xf>
    <xf numFmtId="173" fontId="5" fillId="11" borderId="110" xfId="0" applyNumberFormat="1" applyFont="1" applyFill="1" applyBorder="1" applyAlignment="1">
      <alignment horizontal="center" vertical="center"/>
    </xf>
    <xf numFmtId="171" fontId="6" fillId="4" borderId="111" xfId="0" applyNumberFormat="1" applyFont="1" applyFill="1" applyBorder="1" applyAlignment="1">
      <alignment vertical="center"/>
    </xf>
    <xf numFmtId="171" fontId="6" fillId="4" borderId="112" xfId="0" applyNumberFormat="1" applyFont="1" applyFill="1" applyBorder="1" applyAlignment="1">
      <alignment vertical="center"/>
    </xf>
    <xf numFmtId="172" fontId="8" fillId="0" borderId="111" xfId="0" applyNumberFormat="1" applyFont="1" applyBorder="1" applyAlignment="1">
      <alignment vertical="center"/>
    </xf>
    <xf numFmtId="172" fontId="8" fillId="0" borderId="112" xfId="0" applyNumberFormat="1" applyFont="1" applyBorder="1" applyAlignment="1">
      <alignment vertical="center"/>
    </xf>
    <xf numFmtId="172" fontId="8" fillId="4" borderId="112" xfId="0" applyNumberFormat="1" applyFont="1" applyFill="1" applyBorder="1" applyAlignment="1">
      <alignment vertical="center"/>
    </xf>
    <xf numFmtId="172" fontId="6" fillId="0" borderId="111" xfId="0" applyNumberFormat="1" applyFont="1" applyBorder="1" applyAlignment="1">
      <alignment vertical="center"/>
    </xf>
    <xf numFmtId="171" fontId="6" fillId="0" borderId="111" xfId="0" applyNumberFormat="1" applyFont="1" applyBorder="1" applyAlignment="1">
      <alignment vertical="center"/>
    </xf>
    <xf numFmtId="171" fontId="6" fillId="0" borderId="112" xfId="0" applyNumberFormat="1" applyFont="1" applyBorder="1" applyAlignment="1">
      <alignment vertical="center"/>
    </xf>
    <xf numFmtId="0" fontId="0" fillId="0" borderId="86" xfId="0" applyBorder="1"/>
    <xf numFmtId="0" fontId="0" fillId="0" borderId="113" xfId="0" applyBorder="1"/>
    <xf numFmtId="172" fontId="6" fillId="0" borderId="111" xfId="7" applyNumberFormat="1" applyFont="1" applyBorder="1" applyAlignment="1">
      <alignment vertical="center"/>
    </xf>
    <xf numFmtId="172" fontId="6" fillId="0" borderId="112" xfId="0" applyNumberFormat="1" applyFont="1" applyBorder="1" applyAlignment="1">
      <alignment vertical="center"/>
    </xf>
    <xf numFmtId="172" fontId="8" fillId="0" borderId="114" xfId="0" applyNumberFormat="1" applyFont="1" applyBorder="1" applyAlignment="1">
      <alignment vertical="center"/>
    </xf>
    <xf numFmtId="172" fontId="8" fillId="11" borderId="111" xfId="0" applyNumberFormat="1" applyFont="1" applyFill="1" applyBorder="1" applyAlignment="1">
      <alignment vertical="center"/>
    </xf>
    <xf numFmtId="172" fontId="6" fillId="11" borderId="111" xfId="0" applyNumberFormat="1" applyFont="1" applyFill="1" applyBorder="1" applyAlignment="1">
      <alignment vertical="center"/>
    </xf>
    <xf numFmtId="172" fontId="6" fillId="11" borderId="112" xfId="0" applyNumberFormat="1" applyFont="1" applyFill="1" applyBorder="1" applyAlignment="1">
      <alignment vertical="center"/>
    </xf>
    <xf numFmtId="187" fontId="13" fillId="0" borderId="59" xfId="0" applyNumberFormat="1" applyFont="1" applyBorder="1" applyAlignment="1">
      <alignment vertical="center"/>
    </xf>
    <xf numFmtId="187" fontId="13" fillId="0" borderId="58" xfId="0" applyNumberFormat="1" applyFont="1" applyBorder="1" applyAlignment="1">
      <alignment vertical="center"/>
    </xf>
    <xf numFmtId="187" fontId="13" fillId="0" borderId="111" xfId="0" applyNumberFormat="1" applyFont="1" applyBorder="1" applyAlignment="1">
      <alignment vertical="center"/>
    </xf>
    <xf numFmtId="187" fontId="13" fillId="0" borderId="112" xfId="0" applyNumberFormat="1" applyFont="1" applyBorder="1" applyAlignment="1">
      <alignment vertical="center"/>
    </xf>
    <xf numFmtId="171" fontId="6" fillId="0" borderId="114" xfId="0" applyNumberFormat="1" applyFont="1" applyBorder="1" applyAlignment="1">
      <alignment vertical="center"/>
    </xf>
    <xf numFmtId="171" fontId="6" fillId="0" borderId="115" xfId="0" applyNumberFormat="1" applyFont="1" applyBorder="1" applyAlignment="1">
      <alignment vertical="center"/>
    </xf>
    <xf numFmtId="172" fontId="8" fillId="4" borderId="111" xfId="0" applyNumberFormat="1" applyFont="1" applyFill="1" applyBorder="1" applyAlignment="1">
      <alignment vertical="center"/>
    </xf>
    <xf numFmtId="172" fontId="8" fillId="4" borderId="114" xfId="0" applyNumberFormat="1" applyFont="1" applyFill="1" applyBorder="1" applyAlignment="1">
      <alignment vertical="center"/>
    </xf>
    <xf numFmtId="172" fontId="8" fillId="4" borderId="115" xfId="0" applyNumberFormat="1" applyFont="1" applyFill="1" applyBorder="1" applyAlignment="1">
      <alignment vertical="center"/>
    </xf>
    <xf numFmtId="0" fontId="6" fillId="0" borderId="7" xfId="0" applyFont="1" applyBorder="1" applyAlignment="1" applyProtection="1">
      <alignment vertical="center"/>
    </xf>
    <xf numFmtId="0" fontId="12" fillId="0" borderId="8" xfId="0" applyFont="1" applyBorder="1" applyAlignment="1" applyProtection="1">
      <alignment vertical="center"/>
    </xf>
    <xf numFmtId="0" fontId="13" fillId="0" borderId="8" xfId="0" applyFont="1" applyBorder="1" applyAlignment="1" applyProtection="1">
      <alignment vertical="center"/>
    </xf>
    <xf numFmtId="0" fontId="13" fillId="0" borderId="9" xfId="0" applyFont="1" applyBorder="1" applyAlignment="1" applyProtection="1">
      <alignment horizontal="left" vertical="center"/>
    </xf>
    <xf numFmtId="0" fontId="6" fillId="0" borderId="90" xfId="0" applyFont="1" applyBorder="1" applyAlignment="1" applyProtection="1">
      <alignment vertical="center"/>
    </xf>
    <xf numFmtId="0" fontId="6" fillId="0" borderId="72" xfId="0" applyFont="1" applyBorder="1" applyAlignment="1" applyProtection="1">
      <alignment vertical="center"/>
    </xf>
    <xf numFmtId="0" fontId="12" fillId="0" borderId="73" xfId="0" applyFont="1" applyBorder="1" applyAlignment="1" applyProtection="1">
      <alignment horizontal="left" vertical="center"/>
    </xf>
    <xf numFmtId="0" fontId="8" fillId="0" borderId="84" xfId="8" applyFont="1" applyBorder="1" applyAlignment="1" applyProtection="1">
      <alignment vertical="center"/>
    </xf>
    <xf numFmtId="0" fontId="7" fillId="0" borderId="0" xfId="0" applyFont="1" applyBorder="1" applyAlignment="1" applyProtection="1">
      <alignment vertical="center"/>
    </xf>
    <xf numFmtId="0" fontId="8" fillId="0" borderId="86" xfId="0" applyFont="1" applyBorder="1" applyAlignment="1" applyProtection="1">
      <alignment vertical="center"/>
    </xf>
    <xf numFmtId="0" fontId="6" fillId="0" borderId="86" xfId="8" applyFont="1" applyBorder="1" applyAlignment="1" applyProtection="1">
      <alignment vertical="center"/>
    </xf>
    <xf numFmtId="0" fontId="6" fillId="0" borderId="72" xfId="8" applyFont="1" applyBorder="1" applyAlignment="1" applyProtection="1">
      <alignment vertical="center"/>
    </xf>
    <xf numFmtId="1" fontId="13" fillId="4" borderId="102" xfId="7" applyNumberFormat="1" applyFont="1" applyFill="1" applyBorder="1" applyAlignment="1" applyProtection="1">
      <alignment horizontal="centerContinuous" vertical="center"/>
    </xf>
    <xf numFmtId="172" fontId="13" fillId="0" borderId="103" xfId="7" applyNumberFormat="1" applyFont="1" applyBorder="1" applyAlignment="1" applyProtection="1">
      <alignment horizontal="centerContinuous" vertical="center"/>
    </xf>
    <xf numFmtId="1" fontId="13" fillId="11" borderId="104" xfId="0" applyNumberFormat="1" applyFont="1" applyFill="1" applyBorder="1" applyAlignment="1" applyProtection="1">
      <alignment horizontal="centerContinuous" vertical="center"/>
    </xf>
    <xf numFmtId="172" fontId="13" fillId="11" borderId="103" xfId="7" applyNumberFormat="1" applyFont="1" applyFill="1" applyBorder="1" applyAlignment="1" applyProtection="1">
      <alignment horizontal="centerContinuous" vertical="center"/>
    </xf>
    <xf numFmtId="1" fontId="13" fillId="4" borderId="104" xfId="0" applyNumberFormat="1" applyFont="1" applyFill="1" applyBorder="1" applyAlignment="1" applyProtection="1">
      <alignment horizontal="centerContinuous" vertical="center"/>
    </xf>
    <xf numFmtId="172" fontId="13" fillId="0" borderId="116" xfId="7" applyNumberFormat="1" applyFont="1" applyBorder="1" applyAlignment="1" applyProtection="1">
      <alignment horizontal="centerContinuous" vertical="center"/>
    </xf>
    <xf numFmtId="3" fontId="8" fillId="4" borderId="72" xfId="7" applyNumberFormat="1" applyFont="1" applyFill="1" applyBorder="1" applyAlignment="1" applyProtection="1">
      <alignment horizontal="center" vertical="center"/>
    </xf>
    <xf numFmtId="0" fontId="12" fillId="11" borderId="87" xfId="8" applyFont="1" applyFill="1" applyBorder="1" applyAlignment="1" applyProtection="1">
      <alignment vertical="center"/>
    </xf>
    <xf numFmtId="0" fontId="12" fillId="11" borderId="85" xfId="8" applyFont="1" applyFill="1" applyBorder="1" applyAlignment="1" applyProtection="1">
      <alignment vertical="center"/>
    </xf>
    <xf numFmtId="171" fontId="6" fillId="11" borderId="117" xfId="0" applyNumberFormat="1" applyFont="1" applyFill="1" applyBorder="1" applyAlignment="1">
      <alignment vertical="center"/>
    </xf>
    <xf numFmtId="171" fontId="6" fillId="11" borderId="113" xfId="0" applyNumberFormat="1" applyFont="1" applyFill="1" applyBorder="1" applyAlignment="1">
      <alignment vertical="center"/>
    </xf>
    <xf numFmtId="172" fontId="6" fillId="11" borderId="114" xfId="0" applyNumberFormat="1" applyFont="1" applyFill="1" applyBorder="1" applyAlignment="1">
      <alignment vertical="center"/>
    </xf>
    <xf numFmtId="172" fontId="6" fillId="11" borderId="115" xfId="0" applyNumberFormat="1" applyFont="1" applyFill="1" applyBorder="1" applyAlignment="1">
      <alignment vertical="center"/>
    </xf>
    <xf numFmtId="189" fontId="8" fillId="4" borderId="27" xfId="0" applyNumberFormat="1" applyFont="1" applyFill="1" applyBorder="1" applyAlignment="1" applyProtection="1">
      <alignment vertical="center"/>
    </xf>
    <xf numFmtId="171" fontId="8" fillId="4" borderId="62" xfId="0" applyNumberFormat="1" applyFont="1" applyFill="1" applyBorder="1" applyAlignment="1" applyProtection="1">
      <alignment vertical="center"/>
    </xf>
    <xf numFmtId="17" fontId="0" fillId="0" borderId="0" xfId="0" applyNumberFormat="1" applyProtection="1"/>
    <xf numFmtId="3" fontId="0" fillId="0" borderId="0" xfId="0" applyNumberFormat="1" applyProtection="1"/>
    <xf numFmtId="2" fontId="0" fillId="0" borderId="12" xfId="0" applyNumberFormat="1" applyBorder="1"/>
    <xf numFmtId="0" fontId="6" fillId="0" borderId="24" xfId="0" applyFont="1" applyBorder="1" applyAlignment="1">
      <alignment horizontal="center" vertical="center"/>
    </xf>
    <xf numFmtId="0" fontId="6" fillId="0" borderId="0" xfId="0" applyFont="1" applyAlignment="1">
      <alignment horizontal="left"/>
    </xf>
    <xf numFmtId="0" fontId="34" fillId="0" borderId="0" xfId="0" applyFont="1" applyAlignment="1">
      <alignment horizontal="left"/>
    </xf>
    <xf numFmtId="0" fontId="25" fillId="0" borderId="0" xfId="0" applyFont="1" applyAlignment="1">
      <alignment horizontal="left"/>
    </xf>
    <xf numFmtId="171" fontId="77" fillId="0" borderId="22" xfId="0" applyNumberFormat="1" applyFont="1" applyBorder="1" applyAlignment="1" applyProtection="1">
      <alignment horizontal="center" vertical="center"/>
    </xf>
    <xf numFmtId="171" fontId="77" fillId="0" borderId="30" xfId="0" applyNumberFormat="1" applyFont="1" applyBorder="1" applyAlignment="1" applyProtection="1">
      <alignment horizontal="center" vertical="center"/>
    </xf>
    <xf numFmtId="0" fontId="62" fillId="0" borderId="0" xfId="0" applyFont="1"/>
    <xf numFmtId="0" fontId="34" fillId="0" borderId="0" xfId="0" applyFont="1"/>
    <xf numFmtId="3" fontId="0" fillId="0" borderId="0" xfId="0" applyNumberFormat="1"/>
    <xf numFmtId="0" fontId="0" fillId="0" borderId="72" xfId="0" applyBorder="1" applyAlignment="1"/>
    <xf numFmtId="0" fontId="0" fillId="0" borderId="74" xfId="0" applyBorder="1" applyAlignment="1"/>
    <xf numFmtId="0" fontId="118" fillId="0" borderId="72" xfId="0" applyFont="1" applyBorder="1" applyAlignment="1"/>
    <xf numFmtId="0" fontId="118" fillId="0" borderId="2" xfId="0" applyFont="1" applyBorder="1" applyAlignment="1">
      <alignment horizontal="centerContinuous"/>
    </xf>
    <xf numFmtId="0" fontId="118" fillId="0" borderId="0" xfId="0" applyFont="1" applyBorder="1" applyAlignment="1">
      <alignment horizontal="centerContinuous"/>
    </xf>
    <xf numFmtId="0" fontId="117" fillId="0" borderId="23" xfId="0" applyFont="1" applyBorder="1" applyAlignment="1">
      <alignment horizontal="center"/>
    </xf>
    <xf numFmtId="0" fontId="117" fillId="0" borderId="2" xfId="0" applyFont="1" applyBorder="1" applyAlignment="1">
      <alignment horizontal="center"/>
    </xf>
    <xf numFmtId="0" fontId="117" fillId="0" borderId="50" xfId="0" applyFont="1" applyBorder="1" applyAlignment="1">
      <alignment horizontal="center"/>
    </xf>
    <xf numFmtId="0" fontId="5" fillId="0" borderId="0" xfId="0" applyFont="1"/>
    <xf numFmtId="3" fontId="48" fillId="0" borderId="0" xfId="0" applyNumberFormat="1" applyFont="1" applyFill="1" applyBorder="1" applyAlignment="1"/>
    <xf numFmtId="0" fontId="93" fillId="0" borderId="0" xfId="0" applyFont="1" applyAlignment="1">
      <alignment wrapText="1"/>
    </xf>
    <xf numFmtId="0" fontId="62" fillId="0" borderId="118" xfId="0" applyFont="1" applyBorder="1" applyAlignment="1">
      <alignment horizontal="center"/>
    </xf>
    <xf numFmtId="0" fontId="34" fillId="0" borderId="2" xfId="0" applyFont="1" applyBorder="1"/>
    <xf numFmtId="0" fontId="34" fillId="0" borderId="12" xfId="0" applyFont="1" applyBorder="1"/>
    <xf numFmtId="0" fontId="0" fillId="9" borderId="1" xfId="0" applyFill="1" applyBorder="1"/>
    <xf numFmtId="0" fontId="117" fillId="0" borderId="0" xfId="0" applyFont="1"/>
    <xf numFmtId="197" fontId="0" fillId="0" borderId="2" xfId="0" applyNumberFormat="1" applyBorder="1"/>
    <xf numFmtId="198" fontId="48" fillId="0" borderId="0" xfId="0" applyNumberFormat="1" applyFont="1" applyBorder="1"/>
    <xf numFmtId="0" fontId="0" fillId="3" borderId="0" xfId="0" applyFill="1" applyBorder="1"/>
    <xf numFmtId="0" fontId="0" fillId="3" borderId="12" xfId="0" applyFill="1" applyBorder="1"/>
    <xf numFmtId="197" fontId="0" fillId="0" borderId="3" xfId="0" applyNumberFormat="1" applyBorder="1"/>
    <xf numFmtId="0" fontId="34" fillId="0" borderId="10" xfId="0" applyFont="1" applyBorder="1"/>
    <xf numFmtId="0" fontId="0" fillId="0" borderId="119" xfId="0" applyBorder="1" applyAlignment="1">
      <alignment horizontal="center"/>
    </xf>
    <xf numFmtId="0" fontId="119" fillId="0" borderId="0" xfId="0" applyFont="1"/>
    <xf numFmtId="0" fontId="34" fillId="0" borderId="120" xfId="0" applyFont="1" applyBorder="1" applyAlignment="1">
      <alignment horizontal="left"/>
    </xf>
    <xf numFmtId="0" fontId="0" fillId="9" borderId="0" xfId="0" applyFill="1"/>
    <xf numFmtId="0" fontId="34" fillId="0" borderId="3" xfId="0" applyFont="1" applyBorder="1" applyAlignment="1">
      <alignment horizontal="left"/>
    </xf>
    <xf numFmtId="0" fontId="34" fillId="0" borderId="5" xfId="0" applyFont="1" applyBorder="1" applyAlignment="1">
      <alignment horizontal="center"/>
    </xf>
    <xf numFmtId="0" fontId="34" fillId="0" borderId="5" xfId="0" applyFont="1" applyBorder="1"/>
    <xf numFmtId="0" fontId="0" fillId="0" borderId="121" xfId="0" applyBorder="1" applyAlignment="1">
      <alignment horizontal="center"/>
    </xf>
    <xf numFmtId="0" fontId="0" fillId="0" borderId="122" xfId="0" applyBorder="1" applyAlignment="1">
      <alignment horizontal="center"/>
    </xf>
    <xf numFmtId="166" fontId="0" fillId="0" borderId="121" xfId="0" applyNumberFormat="1" applyBorder="1" applyAlignment="1">
      <alignment horizontal="center"/>
    </xf>
    <xf numFmtId="0" fontId="0" fillId="0" borderId="123" xfId="0" applyBorder="1" applyAlignment="1">
      <alignment horizontal="center"/>
    </xf>
    <xf numFmtId="0" fontId="0" fillId="0" borderId="124" xfId="0" applyBorder="1" applyAlignment="1">
      <alignment horizontal="center"/>
    </xf>
    <xf numFmtId="0" fontId="120" fillId="0" borderId="0" xfId="0" applyFont="1"/>
    <xf numFmtId="2" fontId="0" fillId="0" borderId="0" xfId="0" applyNumberFormat="1" applyAlignment="1">
      <alignment horizontal="center"/>
    </xf>
    <xf numFmtId="0" fontId="0" fillId="0" borderId="80" xfId="0" applyBorder="1"/>
    <xf numFmtId="0" fontId="0" fillId="0" borderId="93" xfId="0" applyBorder="1"/>
    <xf numFmtId="0" fontId="62" fillId="0" borderId="83" xfId="0" applyFont="1" applyBorder="1" applyAlignment="1">
      <alignment horizontal="center"/>
    </xf>
    <xf numFmtId="0" fontId="0" fillId="0" borderId="49" xfId="0" applyBorder="1"/>
    <xf numFmtId="0" fontId="125" fillId="0" borderId="7" xfId="0" applyFont="1" applyBorder="1" applyAlignment="1">
      <alignment horizontal="left"/>
    </xf>
    <xf numFmtId="0" fontId="0" fillId="0" borderId="4" xfId="0" applyBorder="1" applyAlignment="1">
      <alignment horizontal="right"/>
    </xf>
    <xf numFmtId="0" fontId="48" fillId="0" borderId="2" xfId="0" applyFont="1" applyBorder="1"/>
    <xf numFmtId="0" fontId="34" fillId="0" borderId="0" xfId="0" applyFont="1" applyBorder="1"/>
    <xf numFmtId="0" fontId="34" fillId="0" borderId="4" xfId="0" applyFont="1" applyBorder="1"/>
    <xf numFmtId="0" fontId="34" fillId="0" borderId="13" xfId="0" applyFont="1" applyBorder="1"/>
    <xf numFmtId="0" fontId="128" fillId="0" borderId="2" xfId="0" applyFont="1" applyBorder="1"/>
    <xf numFmtId="0" fontId="48" fillId="0" borderId="0" xfId="0" applyFont="1" applyBorder="1"/>
    <xf numFmtId="0" fontId="6" fillId="0" borderId="10" xfId="0" applyFont="1" applyBorder="1"/>
    <xf numFmtId="0" fontId="34" fillId="0" borderId="121" xfId="0" applyFont="1" applyBorder="1" applyAlignment="1">
      <alignment horizontal="center"/>
    </xf>
    <xf numFmtId="0" fontId="34" fillId="0" borderId="12" xfId="0" applyFont="1" applyBorder="1" applyAlignment="1">
      <alignment horizontal="center"/>
    </xf>
    <xf numFmtId="166" fontId="25" fillId="0" borderId="121" xfId="0" applyNumberFormat="1" applyFont="1" applyBorder="1" applyAlignment="1">
      <alignment horizontal="center"/>
    </xf>
    <xf numFmtId="0" fontId="0" fillId="0" borderId="125" xfId="0" applyBorder="1" applyAlignment="1">
      <alignment horizontal="center"/>
    </xf>
    <xf numFmtId="0" fontId="0" fillId="0" borderId="126" xfId="0" applyBorder="1" applyAlignment="1">
      <alignment horizontal="center"/>
    </xf>
    <xf numFmtId="0" fontId="0" fillId="0" borderId="127" xfId="0" applyBorder="1" applyAlignment="1">
      <alignment horizontal="center"/>
    </xf>
    <xf numFmtId="201" fontId="130" fillId="4" borderId="38" xfId="0" applyNumberFormat="1" applyFont="1" applyFill="1" applyBorder="1" applyAlignment="1">
      <alignment horizontal="center"/>
    </xf>
    <xf numFmtId="0" fontId="130" fillId="11" borderId="1" xfId="0" applyFont="1" applyFill="1" applyBorder="1" applyAlignment="1">
      <alignment horizontal="center"/>
    </xf>
    <xf numFmtId="0" fontId="62" fillId="0" borderId="3" xfId="0" applyFont="1" applyBorder="1"/>
    <xf numFmtId="0" fontId="0" fillId="0" borderId="20" xfId="0" applyBorder="1" applyAlignment="1">
      <alignment horizontal="center"/>
    </xf>
    <xf numFmtId="0" fontId="48" fillId="0" borderId="0" xfId="0" applyFont="1" applyBorder="1" applyAlignment="1">
      <alignment horizontal="right" vertical="center"/>
    </xf>
    <xf numFmtId="0" fontId="119" fillId="0" borderId="33" xfId="0" applyFont="1" applyBorder="1" applyAlignment="1">
      <alignment horizontal="center"/>
    </xf>
    <xf numFmtId="3" fontId="34" fillId="0" borderId="128" xfId="0" applyNumberFormat="1" applyFont="1" applyBorder="1" applyAlignment="1">
      <alignment horizontal="center"/>
    </xf>
    <xf numFmtId="3" fontId="34" fillId="0" borderId="119" xfId="0" applyNumberFormat="1" applyFont="1" applyBorder="1" applyAlignment="1">
      <alignment horizontal="center"/>
    </xf>
    <xf numFmtId="3" fontId="34" fillId="0" borderId="33" xfId="0" applyNumberFormat="1" applyFont="1" applyBorder="1" applyAlignment="1">
      <alignment horizontal="center"/>
    </xf>
    <xf numFmtId="3" fontId="34" fillId="0" borderId="5" xfId="0" applyNumberFormat="1" applyFont="1" applyBorder="1" applyAlignment="1">
      <alignment horizontal="center"/>
    </xf>
    <xf numFmtId="3" fontId="0" fillId="0" borderId="23" xfId="0" applyNumberFormat="1" applyBorder="1" applyAlignment="1">
      <alignment horizontal="center"/>
    </xf>
    <xf numFmtId="3" fontId="0" fillId="0" borderId="33" xfId="0" applyNumberFormat="1" applyBorder="1" applyAlignment="1">
      <alignment horizontal="center"/>
    </xf>
    <xf numFmtId="166" fontId="132" fillId="0" borderId="121" xfId="0" applyNumberFormat="1" applyFont="1" applyBorder="1" applyAlignment="1">
      <alignment horizontal="center"/>
    </xf>
    <xf numFmtId="166" fontId="132" fillId="0" borderId="129" xfId="0" applyNumberFormat="1" applyFont="1" applyBorder="1" applyAlignment="1">
      <alignment horizontal="center"/>
    </xf>
    <xf numFmtId="166" fontId="132" fillId="0" borderId="130" xfId="0" applyNumberFormat="1" applyFont="1" applyBorder="1" applyAlignment="1">
      <alignment horizontal="center"/>
    </xf>
    <xf numFmtId="0" fontId="48" fillId="0" borderId="131" xfId="0" applyFont="1" applyBorder="1" applyAlignment="1">
      <alignment horizontal="right"/>
    </xf>
    <xf numFmtId="0" fontId="119" fillId="0" borderId="2" xfId="0" applyFont="1" applyBorder="1"/>
    <xf numFmtId="0" fontId="0" fillId="0" borderId="10" xfId="0" applyBorder="1" applyAlignment="1">
      <alignment horizontal="right"/>
    </xf>
    <xf numFmtId="0" fontId="25" fillId="0" borderId="2" xfId="0" applyFont="1" applyBorder="1"/>
    <xf numFmtId="1" fontId="0" fillId="0" borderId="0" xfId="0" applyNumberFormat="1"/>
    <xf numFmtId="166" fontId="0" fillId="0" borderId="13" xfId="0" applyNumberFormat="1" applyBorder="1" applyAlignment="1">
      <alignment horizontal="right"/>
    </xf>
    <xf numFmtId="166" fontId="0" fillId="0" borderId="12" xfId="0" applyNumberFormat="1" applyBorder="1"/>
    <xf numFmtId="166" fontId="25" fillId="0" borderId="12" xfId="0" applyNumberFormat="1" applyFont="1" applyBorder="1"/>
    <xf numFmtId="166" fontId="34" fillId="0" borderId="12" xfId="0" applyNumberFormat="1" applyFont="1" applyBorder="1"/>
    <xf numFmtId="0" fontId="0" fillId="9" borderId="34" xfId="0" applyFill="1" applyBorder="1"/>
    <xf numFmtId="1" fontId="0" fillId="0" borderId="20" xfId="0" applyNumberFormat="1" applyBorder="1"/>
    <xf numFmtId="1" fontId="0" fillId="0" borderId="23" xfId="0" applyNumberFormat="1" applyBorder="1"/>
    <xf numFmtId="1" fontId="34" fillId="0" borderId="23" xfId="0" applyNumberFormat="1" applyFont="1" applyBorder="1"/>
    <xf numFmtId="0" fontId="0" fillId="0" borderId="24" xfId="0" applyBorder="1" applyAlignment="1">
      <alignment horizontal="right"/>
    </xf>
    <xf numFmtId="0" fontId="0" fillId="0" borderId="11" xfId="0" applyBorder="1" applyAlignment="1">
      <alignment horizontal="right"/>
    </xf>
    <xf numFmtId="0" fontId="34" fillId="0" borderId="34" xfId="0" applyFont="1" applyBorder="1"/>
    <xf numFmtId="0" fontId="48" fillId="0" borderId="4" xfId="0" applyFont="1" applyBorder="1" applyAlignment="1">
      <alignment horizontal="right"/>
    </xf>
    <xf numFmtId="1" fontId="0" fillId="0" borderId="13" xfId="0" applyNumberFormat="1" applyFill="1" applyBorder="1"/>
    <xf numFmtId="0" fontId="48" fillId="0" borderId="0" xfId="0" applyFont="1" applyBorder="1" applyAlignment="1">
      <alignment horizontal="right"/>
    </xf>
    <xf numFmtId="1" fontId="0" fillId="0" borderId="12" xfId="0" applyNumberFormat="1" applyFill="1" applyBorder="1"/>
    <xf numFmtId="1" fontId="34" fillId="0" borderId="6" xfId="0" applyNumberFormat="1" applyFont="1" applyBorder="1"/>
    <xf numFmtId="0" fontId="0" fillId="9" borderId="33" xfId="0" applyFill="1" applyBorder="1"/>
    <xf numFmtId="0" fontId="0" fillId="0" borderId="132" xfId="0" applyBorder="1"/>
    <xf numFmtId="3" fontId="48" fillId="0" borderId="23" xfId="0" applyNumberFormat="1" applyFont="1" applyBorder="1" applyAlignment="1">
      <alignment horizontal="center"/>
    </xf>
    <xf numFmtId="3" fontId="48" fillId="0" borderId="2" xfId="0" applyNumberFormat="1" applyFont="1" applyBorder="1" applyAlignment="1">
      <alignment horizontal="center"/>
    </xf>
    <xf numFmtId="0" fontId="0" fillId="0" borderId="49" xfId="0" applyBorder="1" applyAlignment="1">
      <alignment horizontal="center"/>
    </xf>
    <xf numFmtId="0" fontId="0" fillId="0" borderId="133" xfId="0" applyBorder="1" applyAlignment="1">
      <alignment horizontal="center"/>
    </xf>
    <xf numFmtId="0" fontId="117" fillId="0" borderId="49" xfId="0" applyFont="1" applyBorder="1" applyAlignment="1">
      <alignment horizontal="center"/>
    </xf>
    <xf numFmtId="0" fontId="117" fillId="0" borderId="134" xfId="0" applyFont="1" applyBorder="1" applyAlignment="1">
      <alignment horizontal="center"/>
    </xf>
    <xf numFmtId="3" fontId="48" fillId="0" borderId="50" xfId="0" applyNumberFormat="1" applyFont="1" applyBorder="1" applyAlignment="1">
      <alignment horizontal="center"/>
    </xf>
    <xf numFmtId="0" fontId="119" fillId="0" borderId="0" xfId="0" applyFont="1" applyBorder="1" applyAlignment="1">
      <alignment vertical="center"/>
    </xf>
    <xf numFmtId="166" fontId="34" fillId="0" borderId="0" xfId="0" applyNumberFormat="1" applyFont="1" applyBorder="1" applyAlignment="1">
      <alignment horizontal="center" vertical="center"/>
    </xf>
    <xf numFmtId="0" fontId="120" fillId="0" borderId="0" xfId="0" applyFont="1" applyBorder="1" applyAlignment="1">
      <alignment vertical="center"/>
    </xf>
    <xf numFmtId="0" fontId="119" fillId="0" borderId="24" xfId="0" applyFont="1" applyBorder="1" applyAlignment="1">
      <alignment vertical="center"/>
    </xf>
    <xf numFmtId="0" fontId="0" fillId="0" borderId="135" xfId="0" applyBorder="1" applyAlignment="1">
      <alignment horizontal="center"/>
    </xf>
    <xf numFmtId="0" fontId="0" fillId="0" borderId="13" xfId="0" applyBorder="1" applyAlignment="1">
      <alignment horizontal="center"/>
    </xf>
    <xf numFmtId="0" fontId="119" fillId="0" borderId="2" xfId="0" applyFont="1" applyBorder="1" applyAlignment="1">
      <alignment vertical="center"/>
    </xf>
    <xf numFmtId="0" fontId="120" fillId="0" borderId="12" xfId="0" applyFont="1" applyBorder="1" applyAlignment="1">
      <alignment horizontal="center" vertical="center"/>
    </xf>
    <xf numFmtId="166" fontId="48" fillId="0" borderId="12" xfId="0" applyNumberFormat="1" applyFont="1" applyBorder="1" applyAlignment="1">
      <alignment horizontal="center" vertical="center"/>
    </xf>
    <xf numFmtId="0" fontId="48" fillId="0" borderId="12" xfId="0" applyFont="1" applyBorder="1" applyAlignment="1">
      <alignment horizontal="center" vertical="center"/>
    </xf>
    <xf numFmtId="0" fontId="120" fillId="0" borderId="2" xfId="0" applyFont="1" applyBorder="1" applyAlignment="1">
      <alignment horizontal="center" vertical="center"/>
    </xf>
    <xf numFmtId="0" fontId="48" fillId="0" borderId="2" xfId="0" applyFont="1" applyBorder="1" applyAlignment="1">
      <alignment horizontal="center" vertical="center"/>
    </xf>
    <xf numFmtId="0" fontId="120" fillId="0" borderId="2" xfId="0" applyFont="1" applyBorder="1" applyAlignment="1">
      <alignment vertical="center"/>
    </xf>
    <xf numFmtId="0" fontId="120" fillId="0" borderId="121" xfId="0" applyFont="1" applyBorder="1" applyAlignment="1">
      <alignment horizontal="center" vertical="center"/>
    </xf>
    <xf numFmtId="0" fontId="48" fillId="0" borderId="121" xfId="0" applyFont="1" applyBorder="1" applyAlignment="1">
      <alignment horizontal="center" vertical="center"/>
    </xf>
    <xf numFmtId="166" fontId="48" fillId="0" borderId="121" xfId="0" applyNumberFormat="1" applyFont="1" applyBorder="1" applyAlignment="1">
      <alignment horizontal="center" vertical="center"/>
    </xf>
    <xf numFmtId="0" fontId="48" fillId="0" borderId="129" xfId="0" applyFont="1" applyBorder="1" applyAlignment="1">
      <alignment horizontal="center" vertical="center"/>
    </xf>
    <xf numFmtId="166" fontId="34" fillId="0" borderId="136" xfId="0" applyNumberFormat="1" applyFont="1" applyBorder="1" applyAlignment="1">
      <alignment horizontal="center" vertical="center"/>
    </xf>
    <xf numFmtId="2" fontId="15" fillId="0" borderId="0" xfId="0" applyNumberFormat="1" applyFont="1" applyAlignment="1" applyProtection="1">
      <alignment vertical="center"/>
    </xf>
    <xf numFmtId="2" fontId="17" fillId="0" borderId="0" xfId="0" applyNumberFormat="1" applyFont="1" applyAlignment="1" applyProtection="1">
      <alignment vertical="center"/>
    </xf>
    <xf numFmtId="0" fontId="0" fillId="0" borderId="2" xfId="0" applyBorder="1" applyAlignment="1">
      <alignment horizontal="left" wrapText="1"/>
    </xf>
    <xf numFmtId="0" fontId="0" fillId="0" borderId="0" xfId="0" applyBorder="1" applyAlignment="1">
      <alignment horizontal="left" wrapText="1"/>
    </xf>
    <xf numFmtId="0" fontId="34" fillId="0" borderId="0" xfId="0" applyFont="1" applyBorder="1" applyAlignment="1">
      <alignment horizontal="center"/>
    </xf>
    <xf numFmtId="0" fontId="25" fillId="0" borderId="0" xfId="0" applyFont="1" applyBorder="1"/>
    <xf numFmtId="0" fontId="25" fillId="0" borderId="121" xfId="0" applyFont="1" applyBorder="1" applyAlignment="1">
      <alignment horizontal="center"/>
    </xf>
    <xf numFmtId="0" fontId="25" fillId="0" borderId="12" xfId="0" applyFont="1" applyBorder="1" applyAlignment="1">
      <alignment horizontal="center"/>
    </xf>
    <xf numFmtId="0" fontId="25" fillId="0" borderId="0" xfId="0" applyFont="1" applyBorder="1" applyAlignment="1">
      <alignment horizontal="center"/>
    </xf>
    <xf numFmtId="0" fontId="135" fillId="0" borderId="2" xfId="0" applyFont="1" applyBorder="1"/>
    <xf numFmtId="0" fontId="34" fillId="0" borderId="2" xfId="0" applyFont="1" applyBorder="1" applyAlignment="1">
      <alignment horizontal="left"/>
    </xf>
    <xf numFmtId="0" fontId="6" fillId="0" borderId="2" xfId="0" applyFont="1" applyBorder="1" applyAlignment="1">
      <alignment vertical="center"/>
    </xf>
    <xf numFmtId="0" fontId="6" fillId="0" borderId="2" xfId="0" applyFont="1" applyBorder="1" applyAlignment="1">
      <alignment horizontal="left"/>
    </xf>
    <xf numFmtId="0" fontId="127" fillId="0" borderId="2" xfId="0" applyFont="1" applyBorder="1" applyAlignment="1">
      <alignment horizontal="left"/>
    </xf>
    <xf numFmtId="200" fontId="34" fillId="0" borderId="121" xfId="0" applyNumberFormat="1" applyFont="1" applyBorder="1" applyAlignment="1">
      <alignment horizontal="center"/>
    </xf>
    <xf numFmtId="200" fontId="0" fillId="0" borderId="121" xfId="0" applyNumberFormat="1" applyBorder="1" applyAlignment="1">
      <alignment horizontal="center"/>
    </xf>
    <xf numFmtId="1" fontId="34" fillId="0" borderId="131" xfId="0" applyNumberFormat="1" applyFont="1" applyBorder="1" applyAlignment="1">
      <alignment horizontal="center" vertical="center"/>
    </xf>
    <xf numFmtId="1" fontId="34" fillId="0" borderId="124" xfId="0" applyNumberFormat="1" applyFont="1" applyBorder="1" applyAlignment="1">
      <alignment horizontal="center" vertical="center"/>
    </xf>
    <xf numFmtId="0" fontId="34" fillId="0" borderId="24" xfId="0" applyFont="1" applyBorder="1" applyAlignment="1">
      <alignment vertical="center"/>
    </xf>
    <xf numFmtId="0" fontId="34" fillId="0" borderId="11" xfId="0" applyFont="1" applyBorder="1" applyAlignment="1">
      <alignment vertical="center"/>
    </xf>
    <xf numFmtId="0" fontId="34" fillId="0" borderId="11" xfId="0" applyFont="1" applyBorder="1" applyAlignment="1">
      <alignment horizontal="center" vertical="center"/>
    </xf>
    <xf numFmtId="0" fontId="34" fillId="0" borderId="137" xfId="0" applyFont="1" applyBorder="1" applyAlignment="1">
      <alignment horizontal="center" vertical="center"/>
    </xf>
    <xf numFmtId="0" fontId="34" fillId="0" borderId="136" xfId="0" applyFont="1" applyBorder="1" applyAlignment="1">
      <alignment horizontal="center" vertical="center"/>
    </xf>
    <xf numFmtId="0" fontId="34" fillId="0" borderId="34" xfId="0" applyFont="1" applyBorder="1" applyAlignment="1">
      <alignment horizontal="center" vertical="center"/>
    </xf>
    <xf numFmtId="0" fontId="34" fillId="0" borderId="138" xfId="0" applyFont="1" applyBorder="1" applyAlignment="1">
      <alignment horizontal="center" vertical="center"/>
    </xf>
    <xf numFmtId="166" fontId="34" fillId="0" borderId="24" xfId="0" applyNumberFormat="1" applyFont="1" applyBorder="1" applyAlignment="1">
      <alignment vertical="center"/>
    </xf>
    <xf numFmtId="166" fontId="34" fillId="0" borderId="11" xfId="0" applyNumberFormat="1" applyFont="1" applyBorder="1" applyAlignment="1">
      <alignment horizontal="center" vertical="center"/>
    </xf>
    <xf numFmtId="166" fontId="34" fillId="0" borderId="11" xfId="0" applyNumberFormat="1" applyFont="1" applyBorder="1" applyAlignment="1">
      <alignment vertical="center"/>
    </xf>
    <xf numFmtId="166" fontId="34" fillId="0" borderId="138" xfId="0" applyNumberFormat="1" applyFont="1" applyBorder="1" applyAlignment="1">
      <alignment horizontal="center" vertical="center"/>
    </xf>
    <xf numFmtId="0" fontId="137" fillId="0" borderId="2" xfId="0" applyFont="1" applyBorder="1"/>
    <xf numFmtId="0" fontId="116" fillId="0" borderId="0" xfId="0" applyFont="1" applyBorder="1" applyAlignment="1">
      <alignment horizontal="center"/>
    </xf>
    <xf numFmtId="0" fontId="117" fillId="0" borderId="0" xfId="0" applyFont="1" applyBorder="1" applyAlignment="1">
      <alignment horizontal="right"/>
    </xf>
    <xf numFmtId="199" fontId="0" fillId="0" borderId="0" xfId="0" applyNumberFormat="1"/>
    <xf numFmtId="0" fontId="62" fillId="0" borderId="139" xfId="0" applyFont="1" applyBorder="1" applyAlignment="1">
      <alignment horizontal="center"/>
    </xf>
    <xf numFmtId="0" fontId="25" fillId="0" borderId="0" xfId="0" applyFont="1" applyBorder="1" applyAlignment="1">
      <alignment horizontal="right"/>
    </xf>
    <xf numFmtId="0" fontId="127" fillId="0" borderId="0" xfId="0" applyFont="1" applyBorder="1" applyAlignment="1">
      <alignment horizontal="left"/>
    </xf>
    <xf numFmtId="0" fontId="25" fillId="0" borderId="2" xfId="0" applyFont="1" applyBorder="1" applyAlignment="1">
      <alignment vertical="center"/>
    </xf>
    <xf numFmtId="171" fontId="8" fillId="4" borderId="0" xfId="0" applyNumberFormat="1" applyFont="1" applyFill="1" applyBorder="1" applyAlignment="1" applyProtection="1">
      <alignment vertical="center"/>
    </xf>
    <xf numFmtId="0" fontId="127" fillId="0" borderId="2" xfId="0" applyFont="1" applyBorder="1"/>
    <xf numFmtId="0" fontId="127" fillId="0" borderId="0" xfId="0" applyFont="1" applyBorder="1" applyAlignment="1">
      <alignment horizontal="center"/>
    </xf>
    <xf numFmtId="2" fontId="48" fillId="0" borderId="33" xfId="0" applyNumberFormat="1" applyFont="1" applyBorder="1"/>
    <xf numFmtId="0" fontId="48" fillId="0" borderId="140" xfId="0" applyFont="1" applyBorder="1" applyAlignment="1">
      <alignment horizontal="center"/>
    </xf>
    <xf numFmtId="0" fontId="139" fillId="3" borderId="1" xfId="4" applyFont="1" applyFill="1" applyBorder="1" applyAlignment="1" applyProtection="1">
      <alignment horizontal="center" vertical="center"/>
    </xf>
    <xf numFmtId="0" fontId="89" fillId="0" borderId="0" xfId="4" applyFont="1" applyBorder="1" applyAlignment="1" applyProtection="1">
      <alignment horizontal="center"/>
    </xf>
    <xf numFmtId="0" fontId="89" fillId="3" borderId="1" xfId="4" applyFont="1" applyFill="1" applyBorder="1" applyAlignment="1" applyProtection="1">
      <alignment horizontal="center" wrapText="1"/>
    </xf>
    <xf numFmtId="0" fontId="140" fillId="9" borderId="0" xfId="4" applyFont="1" applyFill="1" applyAlignment="1" applyProtection="1"/>
    <xf numFmtId="3" fontId="5" fillId="2" borderId="90" xfId="7" applyNumberFormat="1" applyFont="1" applyFill="1" applyBorder="1" applyAlignment="1" applyProtection="1">
      <alignment horizontal="centerContinuous" vertical="center"/>
      <protection locked="0"/>
    </xf>
    <xf numFmtId="0" fontId="52" fillId="0" borderId="34" xfId="0" applyFont="1" applyBorder="1" applyAlignment="1" applyProtection="1">
      <alignment horizontal="centerContinuous" vertical="center"/>
    </xf>
    <xf numFmtId="3" fontId="5" fillId="2" borderId="24" xfId="7" applyNumberFormat="1" applyFont="1" applyFill="1" applyBorder="1" applyAlignment="1" applyProtection="1">
      <alignment horizontal="centerContinuous" vertical="center"/>
      <protection locked="0"/>
    </xf>
    <xf numFmtId="0" fontId="52" fillId="11" borderId="34" xfId="0" applyFont="1" applyFill="1" applyBorder="1" applyAlignment="1" applyProtection="1">
      <alignment horizontal="centerContinuous" vertical="center"/>
    </xf>
    <xf numFmtId="1" fontId="5" fillId="4" borderId="86" xfId="0" applyNumberFormat="1" applyFont="1" applyFill="1" applyBorder="1" applyAlignment="1" applyProtection="1">
      <alignment horizontal="right" vertical="center"/>
    </xf>
    <xf numFmtId="2" fontId="52" fillId="0" borderId="84" xfId="0" applyNumberFormat="1" applyFont="1" applyBorder="1" applyAlignment="1">
      <alignment vertical="center"/>
    </xf>
    <xf numFmtId="1" fontId="5" fillId="4" borderId="72" xfId="0" applyNumberFormat="1" applyFont="1" applyFill="1" applyBorder="1" applyAlignment="1" applyProtection="1">
      <alignment horizontal="right" vertical="center"/>
    </xf>
    <xf numFmtId="0" fontId="52" fillId="0" borderId="0" xfId="0" applyFont="1" applyAlignment="1" applyProtection="1">
      <alignment horizontal="left"/>
    </xf>
    <xf numFmtId="205" fontId="137" fillId="2" borderId="0" xfId="0" applyNumberFormat="1" applyFont="1" applyFill="1" applyBorder="1" applyAlignment="1" applyProtection="1">
      <alignment horizontal="center"/>
      <protection locked="0"/>
    </xf>
    <xf numFmtId="206" fontId="117" fillId="2" borderId="0" xfId="0" applyNumberFormat="1" applyFont="1" applyFill="1" applyBorder="1" applyAlignment="1" applyProtection="1">
      <alignment horizontal="center"/>
      <protection locked="0"/>
    </xf>
    <xf numFmtId="204" fontId="127" fillId="2" borderId="0" xfId="0" applyNumberFormat="1" applyFont="1" applyFill="1" applyBorder="1" applyProtection="1">
      <protection locked="0"/>
    </xf>
    <xf numFmtId="207" fontId="127" fillId="2" borderId="0" xfId="0" applyNumberFormat="1" applyFont="1" applyFill="1" applyBorder="1" applyAlignment="1" applyProtection="1">
      <alignment horizontal="left"/>
      <protection locked="0"/>
    </xf>
    <xf numFmtId="0" fontId="15" fillId="0" borderId="0" xfId="0" applyFont="1" applyBorder="1" applyAlignment="1" applyProtection="1">
      <alignment horizontal="right" vertical="center"/>
    </xf>
    <xf numFmtId="2" fontId="15" fillId="0" borderId="11" xfId="0" applyNumberFormat="1" applyFont="1" applyBorder="1" applyAlignment="1" applyProtection="1">
      <alignment vertical="center"/>
    </xf>
    <xf numFmtId="2" fontId="15" fillId="0" borderId="34" xfId="0" applyNumberFormat="1" applyFont="1" applyBorder="1" applyAlignment="1" applyProtection="1">
      <alignment vertical="center"/>
    </xf>
    <xf numFmtId="2" fontId="15" fillId="0" borderId="1" xfId="0" applyNumberFormat="1" applyFont="1" applyBorder="1" applyAlignment="1" applyProtection="1">
      <alignment vertical="center"/>
    </xf>
    <xf numFmtId="0" fontId="15" fillId="9" borderId="23" xfId="0" applyFont="1" applyFill="1" applyBorder="1" applyAlignment="1" applyProtection="1">
      <alignment vertical="center"/>
      <protection locked="0"/>
    </xf>
    <xf numFmtId="0" fontId="62" fillId="0" borderId="0" xfId="0" applyFont="1" applyBorder="1" applyAlignment="1" applyProtection="1">
      <alignment vertical="center"/>
    </xf>
    <xf numFmtId="0" fontId="141" fillId="0" borderId="0" xfId="0" applyFont="1" applyAlignment="1" applyProtection="1">
      <alignment vertical="top"/>
    </xf>
    <xf numFmtId="178" fontId="12" fillId="0" borderId="1" xfId="0" applyNumberFormat="1" applyFont="1" applyBorder="1" applyAlignment="1" applyProtection="1">
      <alignment horizontal="center" vertical="center"/>
    </xf>
    <xf numFmtId="166" fontId="8" fillId="2" borderId="20" xfId="0" applyNumberFormat="1" applyFont="1" applyFill="1" applyBorder="1" applyAlignment="1" applyProtection="1">
      <alignment horizontal="center" vertical="center"/>
      <protection locked="0"/>
    </xf>
    <xf numFmtId="166" fontId="8" fillId="2" borderId="23" xfId="0" applyNumberFormat="1" applyFont="1" applyFill="1" applyBorder="1" applyAlignment="1" applyProtection="1">
      <alignment horizontal="center" vertical="center"/>
      <protection locked="0"/>
    </xf>
    <xf numFmtId="166" fontId="8" fillId="2" borderId="33" xfId="0" applyNumberFormat="1" applyFont="1" applyFill="1" applyBorder="1" applyAlignment="1" applyProtection="1">
      <alignment horizontal="center" vertical="center"/>
      <protection locked="0"/>
    </xf>
    <xf numFmtId="0" fontId="0" fillId="0" borderId="11" xfId="0" applyBorder="1" applyAlignment="1" applyProtection="1">
      <alignment vertical="center"/>
    </xf>
    <xf numFmtId="0" fontId="0" fillId="0" borderId="34" xfId="0" applyBorder="1" applyAlignment="1" applyProtection="1">
      <alignment vertical="center"/>
    </xf>
    <xf numFmtId="0" fontId="4" fillId="0" borderId="24" xfId="0" applyFont="1" applyBorder="1" applyAlignment="1" applyProtection="1">
      <alignment vertical="center"/>
    </xf>
    <xf numFmtId="0" fontId="15" fillId="0" borderId="34" xfId="0" applyFont="1" applyBorder="1" applyAlignment="1" applyProtection="1">
      <alignment vertical="center"/>
    </xf>
    <xf numFmtId="0" fontId="6" fillId="0" borderId="20" xfId="0" applyFont="1" applyBorder="1" applyAlignment="1" applyProtection="1">
      <alignment horizontal="centerContinuous" vertical="center"/>
    </xf>
    <xf numFmtId="0" fontId="0" fillId="0" borderId="24" xfId="0" applyBorder="1" applyAlignment="1" applyProtection="1">
      <alignment horizontal="centerContinuous" vertical="center"/>
    </xf>
    <xf numFmtId="0" fontId="15" fillId="4" borderId="5" xfId="0" applyFont="1" applyFill="1" applyBorder="1" applyAlignment="1" applyProtection="1">
      <alignment vertical="center"/>
    </xf>
    <xf numFmtId="0" fontId="8" fillId="0" borderId="11" xfId="0" applyFont="1" applyBorder="1" applyAlignment="1" applyProtection="1">
      <alignment horizontal="centerContinuous" vertical="center"/>
    </xf>
    <xf numFmtId="178" fontId="6" fillId="0" borderId="26" xfId="0" applyNumberFormat="1" applyFont="1" applyBorder="1" applyAlignment="1" applyProtection="1">
      <alignment horizontal="right" vertical="center"/>
    </xf>
    <xf numFmtId="178" fontId="6" fillId="0" borderId="5" xfId="0" applyNumberFormat="1" applyFont="1" applyBorder="1" applyAlignment="1" applyProtection="1">
      <alignment horizontal="right" vertical="center"/>
    </xf>
    <xf numFmtId="0" fontId="2" fillId="0" borderId="20" xfId="0" applyFont="1" applyBorder="1" applyAlignment="1" applyProtection="1">
      <alignment horizontal="left" vertical="center"/>
    </xf>
    <xf numFmtId="178" fontId="6" fillId="0" borderId="3" xfId="0" applyNumberFormat="1" applyFont="1" applyBorder="1" applyAlignment="1" applyProtection="1">
      <alignment horizontal="right" vertical="center"/>
    </xf>
    <xf numFmtId="0" fontId="15" fillId="4" borderId="4" xfId="0" applyFont="1" applyFill="1" applyBorder="1" applyAlignment="1" applyProtection="1">
      <alignment vertical="center"/>
    </xf>
    <xf numFmtId="175" fontId="142" fillId="4" borderId="0" xfId="0" applyNumberFormat="1" applyFont="1" applyFill="1" applyBorder="1" applyAlignment="1" applyProtection="1">
      <alignment vertical="center"/>
    </xf>
    <xf numFmtId="0" fontId="142" fillId="0" borderId="0" xfId="0" applyFont="1" applyBorder="1" applyAlignment="1" applyProtection="1">
      <alignment vertical="center"/>
    </xf>
    <xf numFmtId="178" fontId="6" fillId="0" borderId="11" xfId="0" applyNumberFormat="1" applyFont="1" applyBorder="1" applyAlignment="1" applyProtection="1">
      <alignment horizontal="right" vertical="center"/>
    </xf>
    <xf numFmtId="0" fontId="6" fillId="0" borderId="13" xfId="0" applyFont="1" applyBorder="1" applyAlignment="1" applyProtection="1">
      <alignment horizontal="centerContinuous" vertical="center"/>
    </xf>
    <xf numFmtId="178" fontId="6" fillId="0" borderId="12" xfId="0" applyNumberFormat="1" applyFont="1" applyBorder="1" applyAlignment="1" applyProtection="1">
      <alignment horizontal="right" vertical="center"/>
    </xf>
    <xf numFmtId="180" fontId="8" fillId="4" borderId="141" xfId="0" applyNumberFormat="1" applyFont="1" applyFill="1" applyBorder="1" applyAlignment="1" applyProtection="1">
      <alignment vertical="center"/>
    </xf>
    <xf numFmtId="178" fontId="6" fillId="0" borderId="33" xfId="0" applyNumberFormat="1" applyFont="1" applyBorder="1" applyAlignment="1" applyProtection="1">
      <alignment horizontal="right" vertical="center"/>
    </xf>
    <xf numFmtId="0" fontId="143" fillId="0" borderId="0" xfId="0" applyFont="1" applyBorder="1" applyAlignment="1" applyProtection="1">
      <alignment vertical="center"/>
    </xf>
    <xf numFmtId="0" fontId="76" fillId="0" borderId="0" xfId="0" applyFont="1" applyBorder="1" applyAlignment="1" applyProtection="1">
      <alignment vertical="center"/>
    </xf>
    <xf numFmtId="0" fontId="127" fillId="0" borderId="0" xfId="0" applyFont="1" applyProtection="1"/>
    <xf numFmtId="0" fontId="6" fillId="0" borderId="11" xfId="0" applyFont="1" applyBorder="1" applyAlignment="1" applyProtection="1">
      <alignment horizontal="centerContinuous" vertical="center"/>
    </xf>
    <xf numFmtId="0" fontId="48" fillId="0" borderId="7" xfId="0" applyFont="1" applyBorder="1" applyAlignment="1">
      <alignment horizontal="center" vertical="center"/>
    </xf>
    <xf numFmtId="0" fontId="48" fillId="0" borderId="72" xfId="0" applyFont="1" applyBorder="1" applyAlignment="1">
      <alignment horizontal="center" vertical="center"/>
    </xf>
    <xf numFmtId="0" fontId="48" fillId="0" borderId="86" xfId="8" applyFont="1" applyBorder="1" applyAlignment="1" applyProtection="1">
      <alignment horizontal="center" vertical="center"/>
    </xf>
    <xf numFmtId="0" fontId="48" fillId="0" borderId="72" xfId="8" applyFont="1" applyBorder="1" applyAlignment="1" applyProtection="1">
      <alignment horizontal="center" vertical="center"/>
    </xf>
    <xf numFmtId="0" fontId="48" fillId="0" borderId="72" xfId="8" applyFont="1" applyBorder="1" applyAlignment="1">
      <alignment horizontal="center" vertical="center"/>
    </xf>
    <xf numFmtId="0" fontId="48" fillId="0" borderId="84" xfId="8" applyFont="1" applyBorder="1" applyAlignment="1" applyProtection="1">
      <alignment horizontal="center" vertical="center"/>
    </xf>
    <xf numFmtId="0" fontId="48" fillId="11" borderId="72" xfId="8" applyFont="1" applyFill="1" applyBorder="1" applyAlignment="1" applyProtection="1">
      <alignment horizontal="center" vertical="center"/>
    </xf>
    <xf numFmtId="0" fontId="48" fillId="11" borderId="84" xfId="8" applyFont="1" applyFill="1" applyBorder="1" applyAlignment="1" applyProtection="1">
      <alignment horizontal="center" vertical="top"/>
    </xf>
    <xf numFmtId="0" fontId="48" fillId="4" borderId="84" xfId="0" applyFont="1" applyFill="1" applyBorder="1" applyAlignment="1">
      <alignment horizontal="center"/>
    </xf>
    <xf numFmtId="0" fontId="5" fillId="11" borderId="5" xfId="8" applyFont="1" applyFill="1" applyBorder="1" applyAlignment="1" applyProtection="1">
      <alignment vertical="top"/>
    </xf>
    <xf numFmtId="0" fontId="11" fillId="0" borderId="4" xfId="8" applyFont="1" applyBorder="1" applyAlignment="1" applyProtection="1">
      <alignment vertical="center"/>
    </xf>
    <xf numFmtId="0" fontId="12" fillId="0" borderId="87" xfId="8" applyFont="1" applyBorder="1" applyAlignment="1" applyProtection="1">
      <alignment vertical="center"/>
    </xf>
    <xf numFmtId="0" fontId="12" fillId="0" borderId="0" xfId="0" applyFont="1" applyFill="1" applyBorder="1" applyAlignment="1">
      <alignment horizontal="right" vertical="center"/>
    </xf>
    <xf numFmtId="0" fontId="12" fillId="0" borderId="0" xfId="8" applyFont="1" applyFill="1" applyBorder="1" applyAlignment="1" applyProtection="1">
      <alignment horizontal="right" vertical="center"/>
    </xf>
    <xf numFmtId="9" fontId="12" fillId="0" borderId="0" xfId="8" applyNumberFormat="1" applyFont="1" applyBorder="1" applyAlignment="1" applyProtection="1">
      <alignment horizontal="right" vertical="center"/>
    </xf>
    <xf numFmtId="0" fontId="5" fillId="0" borderId="4" xfId="8" applyFont="1" applyBorder="1" applyAlignment="1" applyProtection="1">
      <alignment horizontal="right" vertical="center"/>
    </xf>
    <xf numFmtId="0" fontId="12" fillId="4" borderId="0" xfId="8" applyFont="1" applyFill="1" applyBorder="1" applyAlignment="1" applyProtection="1">
      <alignment horizontal="right" vertical="center"/>
    </xf>
    <xf numFmtId="0" fontId="12" fillId="0" borderId="5" xfId="0" applyFont="1" applyBorder="1" applyAlignment="1">
      <alignment horizontal="right" vertical="center"/>
    </xf>
    <xf numFmtId="0" fontId="12" fillId="11" borderId="0" xfId="0" applyFont="1" applyFill="1" applyBorder="1" applyAlignment="1">
      <alignment horizontal="right" vertical="center"/>
    </xf>
    <xf numFmtId="0" fontId="12" fillId="11" borderId="5" xfId="8" applyFont="1" applyFill="1" applyBorder="1" applyAlignment="1" applyProtection="1">
      <alignment horizontal="right" vertical="top"/>
    </xf>
    <xf numFmtId="0" fontId="0" fillId="0" borderId="0" xfId="0" applyBorder="1" applyAlignment="1">
      <alignment horizontal="right"/>
    </xf>
    <xf numFmtId="0" fontId="12" fillId="4" borderId="5" xfId="8" applyFont="1" applyFill="1" applyBorder="1" applyAlignment="1" applyProtection="1">
      <alignment horizontal="right" vertical="center"/>
    </xf>
    <xf numFmtId="0" fontId="12" fillId="0" borderId="4" xfId="8" applyFont="1" applyBorder="1" applyAlignment="1" applyProtection="1">
      <alignment horizontal="right" vertical="center"/>
    </xf>
    <xf numFmtId="0" fontId="12" fillId="0" borderId="5" xfId="8" applyFont="1" applyBorder="1" applyAlignment="1" applyProtection="1">
      <alignment horizontal="right" vertical="center"/>
    </xf>
    <xf numFmtId="0" fontId="48" fillId="0" borderId="0" xfId="8" applyFont="1" applyBorder="1" applyAlignment="1" applyProtection="1">
      <alignment vertical="center"/>
    </xf>
    <xf numFmtId="0" fontId="48" fillId="11" borderId="86" xfId="8" applyFont="1" applyFill="1" applyBorder="1" applyAlignment="1" applyProtection="1">
      <alignment horizontal="center" vertical="center"/>
    </xf>
    <xf numFmtId="0" fontId="15" fillId="0" borderId="75" xfId="0" applyFont="1" applyBorder="1" applyAlignment="1" applyProtection="1">
      <alignment vertical="center"/>
    </xf>
    <xf numFmtId="0" fontId="22" fillId="0" borderId="0" xfId="0" applyFont="1" applyAlignment="1">
      <alignment horizontal="center"/>
    </xf>
    <xf numFmtId="0" fontId="21" fillId="0" borderId="0" xfId="0" applyFont="1" applyBorder="1" applyAlignment="1">
      <alignment horizontal="center" vertical="center"/>
    </xf>
    <xf numFmtId="171" fontId="6" fillId="4" borderId="59" xfId="0" applyNumberFormat="1" applyFont="1" applyFill="1" applyBorder="1" applyAlignment="1">
      <alignment horizontal="center" vertical="center"/>
    </xf>
    <xf numFmtId="172" fontId="8" fillId="11" borderId="23" xfId="0" applyNumberFormat="1" applyFont="1" applyFill="1" applyBorder="1" applyAlignment="1">
      <alignment horizontal="center" vertical="center"/>
    </xf>
    <xf numFmtId="172" fontId="8" fillId="0" borderId="23" xfId="0" applyNumberFormat="1" applyFont="1" applyBorder="1" applyAlignment="1">
      <alignment horizontal="center" vertical="center"/>
    </xf>
    <xf numFmtId="172" fontId="6" fillId="0" borderId="23" xfId="0" applyNumberFormat="1" applyFont="1" applyBorder="1" applyAlignment="1">
      <alignment horizontal="center" vertical="center"/>
    </xf>
    <xf numFmtId="172" fontId="6" fillId="11" borderId="23" xfId="0" applyNumberFormat="1" applyFont="1" applyFill="1" applyBorder="1" applyAlignment="1">
      <alignment horizontal="center" vertical="center"/>
    </xf>
    <xf numFmtId="171" fontId="6" fillId="0" borderId="111" xfId="0" applyNumberFormat="1" applyFont="1" applyBorder="1" applyAlignment="1">
      <alignment horizontal="center" vertical="center"/>
    </xf>
    <xf numFmtId="171" fontId="6" fillId="0" borderId="12" xfId="0" applyNumberFormat="1" applyFont="1" applyBorder="1" applyAlignment="1">
      <alignment horizontal="center" vertical="center"/>
    </xf>
    <xf numFmtId="171" fontId="6" fillId="11" borderId="6" xfId="0" applyNumberFormat="1" applyFont="1" applyFill="1" applyBorder="1" applyAlignment="1">
      <alignment horizontal="center" vertical="top"/>
    </xf>
    <xf numFmtId="171" fontId="6" fillId="11" borderId="33" xfId="0" applyNumberFormat="1" applyFont="1" applyFill="1" applyBorder="1" applyAlignment="1">
      <alignment horizontal="center" vertical="center"/>
    </xf>
    <xf numFmtId="171" fontId="6" fillId="0" borderId="33" xfId="0" applyNumberFormat="1" applyFont="1" applyBorder="1" applyAlignment="1">
      <alignment horizontal="center" vertical="center"/>
    </xf>
    <xf numFmtId="14" fontId="0" fillId="0" borderId="0" xfId="0" applyNumberFormat="1" applyBorder="1" applyAlignment="1">
      <alignment horizontal="center" vertical="center"/>
    </xf>
    <xf numFmtId="172" fontId="6" fillId="4" borderId="20" xfId="0" applyNumberFormat="1" applyFont="1" applyFill="1" applyBorder="1" applyAlignment="1">
      <alignment horizontal="center" vertical="center"/>
    </xf>
    <xf numFmtId="172" fontId="6" fillId="11" borderId="20" xfId="0" applyNumberFormat="1" applyFont="1" applyFill="1" applyBorder="1" applyAlignment="1">
      <alignment horizontal="center" vertical="center"/>
    </xf>
    <xf numFmtId="171" fontId="6" fillId="11" borderId="23" xfId="0" applyNumberFormat="1" applyFont="1" applyFill="1" applyBorder="1" applyAlignment="1">
      <alignment horizontal="center" vertical="top"/>
    </xf>
    <xf numFmtId="9" fontId="77" fillId="0" borderId="1" xfId="7" applyFont="1" applyBorder="1" applyAlignment="1">
      <alignment horizontal="center" vertical="center"/>
    </xf>
    <xf numFmtId="0" fontId="0" fillId="0" borderId="23" xfId="0" applyBorder="1" applyAlignment="1">
      <alignment horizontal="center" vertical="center"/>
    </xf>
    <xf numFmtId="0" fontId="0" fillId="12" borderId="23" xfId="0" applyFill="1" applyBorder="1" applyAlignment="1">
      <alignment horizontal="center" vertical="center"/>
    </xf>
    <xf numFmtId="172" fontId="104" fillId="12" borderId="61" xfId="0" applyNumberFormat="1" applyFont="1" applyFill="1" applyBorder="1" applyAlignment="1">
      <alignment horizontal="center" vertical="center"/>
    </xf>
    <xf numFmtId="172" fontId="6" fillId="12" borderId="38" xfId="0" applyNumberFormat="1" applyFont="1" applyFill="1" applyBorder="1" applyAlignment="1">
      <alignment horizontal="center" vertical="center"/>
    </xf>
    <xf numFmtId="172" fontId="6" fillId="12" borderId="23" xfId="0" applyNumberFormat="1" applyFont="1" applyFill="1" applyBorder="1" applyAlignment="1">
      <alignment horizontal="center" vertical="center"/>
    </xf>
    <xf numFmtId="172" fontId="92" fillId="12" borderId="23" xfId="0" applyNumberFormat="1" applyFont="1" applyFill="1" applyBorder="1" applyAlignment="1">
      <alignment horizontal="center" vertical="center"/>
    </xf>
    <xf numFmtId="0" fontId="0" fillId="12" borderId="33" xfId="0" applyFill="1" applyBorder="1" applyAlignment="1">
      <alignment horizontal="center" vertical="center"/>
    </xf>
    <xf numFmtId="0" fontId="0" fillId="12" borderId="0" xfId="0" applyFill="1" applyAlignment="1">
      <alignment horizontal="center"/>
    </xf>
    <xf numFmtId="2" fontId="20" fillId="12" borderId="1" xfId="0" applyNumberFormat="1" applyFont="1" applyFill="1" applyBorder="1" applyAlignment="1">
      <alignment horizontal="center" vertical="center"/>
    </xf>
    <xf numFmtId="2" fontId="20" fillId="15" borderId="1" xfId="0" applyNumberFormat="1" applyFont="1" applyFill="1" applyBorder="1" applyAlignment="1">
      <alignment horizontal="center" vertical="center"/>
    </xf>
    <xf numFmtId="0" fontId="0" fillId="15" borderId="23" xfId="0" applyFill="1" applyBorder="1" applyAlignment="1">
      <alignment horizontal="center" vertical="center"/>
    </xf>
    <xf numFmtId="172" fontId="104" fillId="15" borderId="61" xfId="0" applyNumberFormat="1" applyFont="1" applyFill="1" applyBorder="1" applyAlignment="1">
      <alignment horizontal="center" vertical="center"/>
    </xf>
    <xf numFmtId="172" fontId="6" fillId="15" borderId="38" xfId="0" applyNumberFormat="1" applyFont="1" applyFill="1" applyBorder="1" applyAlignment="1">
      <alignment horizontal="center" vertical="center"/>
    </xf>
    <xf numFmtId="172" fontId="6" fillId="15" borderId="23" xfId="0" applyNumberFormat="1" applyFont="1" applyFill="1" applyBorder="1" applyAlignment="1">
      <alignment horizontal="center" vertical="center"/>
    </xf>
    <xf numFmtId="172" fontId="104" fillId="12" borderId="23" xfId="0" applyNumberFormat="1" applyFont="1" applyFill="1" applyBorder="1" applyAlignment="1">
      <alignment horizontal="center" vertical="center"/>
    </xf>
    <xf numFmtId="172" fontId="104" fillId="15" borderId="23" xfId="0" applyNumberFormat="1" applyFont="1" applyFill="1" applyBorder="1" applyAlignment="1">
      <alignment horizontal="center" vertical="center"/>
    </xf>
    <xf numFmtId="0" fontId="0" fillId="15" borderId="33" xfId="0" applyFill="1" applyBorder="1" applyAlignment="1">
      <alignment horizontal="center" vertical="center"/>
    </xf>
    <xf numFmtId="192" fontId="20" fillId="12" borderId="1" xfId="1" applyFont="1" applyFill="1" applyBorder="1" applyAlignment="1">
      <alignment horizontal="center" vertical="center"/>
    </xf>
    <xf numFmtId="192" fontId="20" fillId="15" borderId="1" xfId="1" applyFont="1" applyFill="1" applyBorder="1" applyAlignment="1">
      <alignment horizontal="center" vertical="center"/>
    </xf>
    <xf numFmtId="170" fontId="8" fillId="0" borderId="111" xfId="0" applyNumberFormat="1" applyFont="1" applyBorder="1" applyAlignment="1">
      <alignment horizontal="right" vertical="center"/>
    </xf>
    <xf numFmtId="186" fontId="8" fillId="0" borderId="111" xfId="0" applyNumberFormat="1" applyFont="1" applyBorder="1" applyAlignment="1">
      <alignment horizontal="right" vertical="center"/>
    </xf>
    <xf numFmtId="170" fontId="8" fillId="0" borderId="117" xfId="0" applyNumberFormat="1" applyFont="1" applyBorder="1" applyAlignment="1">
      <alignment horizontal="right" vertical="center"/>
    </xf>
    <xf numFmtId="170" fontId="8" fillId="0" borderId="114" xfId="0" applyNumberFormat="1" applyFont="1" applyBorder="1" applyAlignment="1">
      <alignment horizontal="right" vertical="center"/>
    </xf>
    <xf numFmtId="170" fontId="8" fillId="0" borderId="0" xfId="0" applyNumberFormat="1" applyFont="1" applyBorder="1" applyAlignment="1">
      <alignment horizontal="right" vertical="center"/>
    </xf>
    <xf numFmtId="170" fontId="8" fillId="11" borderId="111" xfId="0" applyNumberFormat="1" applyFont="1" applyFill="1" applyBorder="1" applyAlignment="1">
      <alignment horizontal="right" vertical="center"/>
    </xf>
    <xf numFmtId="0" fontId="0" fillId="0" borderId="11" xfId="0" applyBorder="1" applyAlignment="1">
      <alignment horizontal="center"/>
    </xf>
    <xf numFmtId="0" fontId="34" fillId="0" borderId="0" xfId="0" applyFont="1" applyAlignment="1">
      <alignment vertical="center"/>
    </xf>
    <xf numFmtId="192" fontId="148" fillId="12" borderId="1" xfId="1" applyFont="1" applyFill="1" applyBorder="1" applyAlignment="1">
      <alignment horizontal="center" vertical="center"/>
    </xf>
    <xf numFmtId="192" fontId="148" fillId="15" borderId="1" xfId="1" applyFont="1" applyFill="1" applyBorder="1" applyAlignment="1">
      <alignment horizontal="center" vertical="center"/>
    </xf>
    <xf numFmtId="186" fontId="8" fillId="0" borderId="12" xfId="0" applyNumberFormat="1" applyFont="1" applyBorder="1" applyAlignment="1">
      <alignment horizontal="right" vertical="center"/>
    </xf>
    <xf numFmtId="0" fontId="0" fillId="0" borderId="117" xfId="0" applyBorder="1" applyAlignment="1">
      <alignment horizontal="center"/>
    </xf>
    <xf numFmtId="170" fontId="8" fillId="0" borderId="11" xfId="0" applyNumberFormat="1" applyFont="1" applyBorder="1" applyAlignment="1">
      <alignment horizontal="right" vertical="center"/>
    </xf>
    <xf numFmtId="0" fontId="0" fillId="11" borderId="84" xfId="0" applyFill="1" applyBorder="1" applyAlignment="1">
      <alignment horizontal="center" vertical="center"/>
    </xf>
    <xf numFmtId="170" fontId="6" fillId="11" borderId="111" xfId="0" applyNumberFormat="1" applyFont="1" applyFill="1" applyBorder="1" applyAlignment="1">
      <alignment horizontal="right" vertical="center"/>
    </xf>
    <xf numFmtId="170" fontId="6" fillId="0" borderId="111" xfId="0" applyNumberFormat="1" applyFont="1" applyBorder="1" applyAlignment="1">
      <alignment horizontal="right" vertical="center"/>
    </xf>
    <xf numFmtId="170" fontId="8" fillId="0" borderId="12" xfId="0" applyNumberFormat="1" applyFont="1" applyBorder="1" applyAlignment="1">
      <alignment horizontal="right" vertical="center"/>
    </xf>
    <xf numFmtId="170" fontId="6" fillId="0" borderId="12" xfId="0" applyNumberFormat="1" applyFont="1" applyBorder="1" applyAlignment="1">
      <alignment horizontal="right" vertical="center"/>
    </xf>
    <xf numFmtId="170" fontId="8" fillId="0" borderId="6" xfId="0" applyNumberFormat="1" applyFont="1" applyBorder="1" applyAlignment="1">
      <alignment horizontal="right" vertical="center"/>
    </xf>
    <xf numFmtId="170" fontId="8" fillId="11" borderId="12" xfId="0" applyNumberFormat="1" applyFont="1" applyFill="1" applyBorder="1" applyAlignment="1">
      <alignment horizontal="right" vertical="center"/>
    </xf>
    <xf numFmtId="170" fontId="6" fillId="11" borderId="12" xfId="0" applyNumberFormat="1" applyFont="1" applyFill="1" applyBorder="1" applyAlignment="1">
      <alignment horizontal="right" vertical="center"/>
    </xf>
    <xf numFmtId="170" fontId="6" fillId="0" borderId="34" xfId="0" applyNumberFormat="1" applyFont="1" applyBorder="1" applyAlignment="1">
      <alignment horizontal="right" vertical="center"/>
    </xf>
    <xf numFmtId="0" fontId="0" fillId="11" borderId="5" xfId="0" applyFill="1" applyBorder="1" applyAlignment="1">
      <alignment horizontal="center" vertical="center"/>
    </xf>
    <xf numFmtId="170" fontId="8" fillId="0" borderId="13" xfId="0" applyNumberFormat="1" applyFont="1" applyBorder="1" applyAlignment="1">
      <alignment horizontal="right" vertical="center"/>
    </xf>
    <xf numFmtId="172" fontId="8" fillId="0" borderId="73" xfId="0" applyNumberFormat="1" applyFont="1" applyBorder="1" applyAlignment="1">
      <alignment horizontal="center" vertical="center"/>
    </xf>
    <xf numFmtId="172" fontId="12" fillId="0" borderId="73" xfId="0" applyNumberFormat="1" applyFont="1" applyBorder="1" applyAlignment="1">
      <alignment horizontal="center" vertical="center"/>
    </xf>
    <xf numFmtId="172" fontId="8" fillId="0" borderId="73" xfId="7" applyNumberFormat="1" applyFont="1" applyBorder="1" applyAlignment="1">
      <alignment horizontal="center" vertical="center"/>
    </xf>
    <xf numFmtId="172" fontId="6" fillId="0" borderId="73" xfId="0" applyNumberFormat="1" applyFont="1" applyBorder="1" applyAlignment="1">
      <alignment horizontal="center" vertical="center"/>
    </xf>
    <xf numFmtId="186" fontId="6" fillId="0" borderId="73" xfId="0" applyNumberFormat="1" applyFont="1" applyBorder="1" applyAlignment="1">
      <alignment horizontal="center" vertical="center"/>
    </xf>
    <xf numFmtId="171" fontId="6" fillId="0" borderId="115" xfId="0" applyNumberFormat="1" applyFont="1" applyBorder="1" applyAlignment="1">
      <alignment horizontal="center" vertical="center"/>
    </xf>
    <xf numFmtId="0" fontId="0" fillId="0" borderId="113" xfId="0" applyBorder="1" applyAlignment="1">
      <alignment horizontal="center"/>
    </xf>
    <xf numFmtId="171" fontId="6" fillId="0" borderId="73" xfId="0" applyNumberFormat="1" applyFont="1" applyBorder="1" applyAlignment="1">
      <alignment horizontal="center" vertical="center"/>
    </xf>
    <xf numFmtId="0" fontId="5" fillId="0" borderId="113" xfId="8" applyFont="1" applyBorder="1" applyAlignment="1" applyProtection="1">
      <alignment horizontal="center" vertical="center"/>
    </xf>
    <xf numFmtId="172" fontId="8" fillId="11" borderId="73" xfId="0" applyNumberFormat="1" applyFont="1" applyFill="1" applyBorder="1" applyAlignment="1">
      <alignment horizontal="center" vertical="center"/>
    </xf>
    <xf numFmtId="186" fontId="6" fillId="11" borderId="73" xfId="0" applyNumberFormat="1" applyFont="1" applyFill="1" applyBorder="1" applyAlignment="1">
      <alignment horizontal="center" vertical="center"/>
    </xf>
    <xf numFmtId="171" fontId="6" fillId="11" borderId="85" xfId="0" applyNumberFormat="1" applyFont="1" applyFill="1" applyBorder="1" applyAlignment="1">
      <alignment horizontal="center" vertical="top"/>
    </xf>
    <xf numFmtId="187" fontId="13" fillId="0" borderId="81" xfId="0" applyNumberFormat="1" applyFont="1" applyBorder="1" applyAlignment="1">
      <alignment horizontal="center" vertical="center"/>
    </xf>
    <xf numFmtId="187" fontId="13" fillId="0" borderId="73" xfId="0" applyNumberFormat="1" applyFont="1" applyBorder="1" applyAlignment="1">
      <alignment horizontal="center" vertical="center"/>
    </xf>
    <xf numFmtId="171" fontId="6" fillId="11" borderId="73" xfId="0" applyNumberFormat="1" applyFont="1" applyFill="1" applyBorder="1" applyAlignment="1">
      <alignment horizontal="center" vertical="center"/>
    </xf>
    <xf numFmtId="171" fontId="6" fillId="11" borderId="115" xfId="0" applyNumberFormat="1" applyFont="1" applyFill="1" applyBorder="1" applyAlignment="1">
      <alignment horizontal="center" vertical="top"/>
    </xf>
    <xf numFmtId="172" fontId="8" fillId="0" borderId="87" xfId="0" applyNumberFormat="1" applyFont="1" applyBorder="1" applyAlignment="1">
      <alignment horizontal="center" vertical="center"/>
    </xf>
    <xf numFmtId="186" fontId="8" fillId="0" borderId="73" xfId="0" applyNumberFormat="1" applyFont="1" applyBorder="1" applyAlignment="1">
      <alignment horizontal="center" vertical="center"/>
    </xf>
    <xf numFmtId="171" fontId="6" fillId="0" borderId="85" xfId="0" applyNumberFormat="1" applyFont="1" applyBorder="1" applyAlignment="1">
      <alignment horizontal="center" vertical="center"/>
    </xf>
    <xf numFmtId="172" fontId="8" fillId="4" borderId="85" xfId="0" applyNumberFormat="1" applyFont="1" applyFill="1" applyBorder="1" applyAlignment="1">
      <alignment horizontal="center" vertical="center"/>
    </xf>
    <xf numFmtId="170" fontId="6" fillId="0" borderId="59" xfId="0" applyNumberFormat="1" applyFont="1" applyBorder="1" applyAlignment="1">
      <alignment horizontal="right" vertical="center"/>
    </xf>
    <xf numFmtId="170" fontId="6" fillId="0" borderId="114" xfId="0" applyNumberFormat="1" applyFont="1" applyBorder="1" applyAlignment="1">
      <alignment horizontal="right" vertical="center"/>
    </xf>
    <xf numFmtId="170" fontId="6" fillId="0" borderId="6" xfId="0" applyNumberFormat="1" applyFont="1" applyBorder="1" applyAlignment="1">
      <alignment horizontal="right" vertical="center"/>
    </xf>
    <xf numFmtId="186" fontId="6" fillId="0" borderId="115" xfId="0" applyNumberFormat="1" applyFont="1" applyBorder="1" applyAlignment="1">
      <alignment horizontal="center" vertical="center"/>
    </xf>
    <xf numFmtId="186" fontId="6" fillId="0" borderId="112" xfId="0" applyNumberFormat="1" applyFont="1" applyBorder="1" applyAlignment="1">
      <alignment horizontal="center" vertical="center"/>
    </xf>
    <xf numFmtId="186" fontId="8" fillId="0" borderId="112" xfId="0" applyNumberFormat="1" applyFont="1" applyBorder="1" applyAlignment="1">
      <alignment horizontal="center" vertical="center"/>
    </xf>
    <xf numFmtId="170" fontId="6" fillId="0" borderId="34" xfId="0" applyNumberFormat="1" applyFont="1" applyBorder="1" applyAlignment="1">
      <alignment horizontal="center" vertical="center"/>
    </xf>
    <xf numFmtId="186" fontId="6" fillId="0" borderId="81" xfId="0" applyNumberFormat="1" applyFont="1" applyBorder="1" applyAlignment="1">
      <alignment horizontal="center" vertical="center"/>
    </xf>
    <xf numFmtId="0" fontId="48" fillId="0" borderId="84" xfId="0" applyFont="1" applyBorder="1" applyAlignment="1">
      <alignment horizontal="center" vertical="center"/>
    </xf>
    <xf numFmtId="0" fontId="5" fillId="0" borderId="5" xfId="0" applyFont="1" applyBorder="1" applyAlignment="1">
      <alignment vertical="center"/>
    </xf>
    <xf numFmtId="0" fontId="48" fillId="0" borderId="97" xfId="0" applyFont="1" applyBorder="1" applyAlignment="1">
      <alignment horizontal="center" vertical="center"/>
    </xf>
    <xf numFmtId="0" fontId="5" fillId="0" borderId="92" xfId="0" applyFont="1" applyBorder="1" applyAlignment="1">
      <alignment vertical="center"/>
    </xf>
    <xf numFmtId="0" fontId="12" fillId="0" borderId="92" xfId="0" applyFont="1" applyBorder="1" applyAlignment="1">
      <alignment horizontal="right" vertical="center"/>
    </xf>
    <xf numFmtId="0" fontId="12" fillId="0" borderId="95" xfId="0" applyFont="1" applyBorder="1" applyAlignment="1">
      <alignment vertical="center"/>
    </xf>
    <xf numFmtId="171" fontId="6" fillId="4" borderId="81" xfId="0" applyNumberFormat="1" applyFont="1" applyFill="1" applyBorder="1" applyAlignment="1">
      <alignment horizontal="center" vertical="center"/>
    </xf>
    <xf numFmtId="0" fontId="0" fillId="0" borderId="87" xfId="0" applyBorder="1" applyAlignment="1">
      <alignment horizontal="center"/>
    </xf>
    <xf numFmtId="0" fontId="5" fillId="0" borderId="87" xfId="8" applyFont="1" applyBorder="1" applyAlignment="1" applyProtection="1">
      <alignment horizontal="center" vertical="center"/>
    </xf>
    <xf numFmtId="171" fontId="6" fillId="11" borderId="114" xfId="0" applyNumberFormat="1" applyFont="1" applyFill="1" applyBorder="1" applyAlignment="1">
      <alignment horizontal="center" vertical="top"/>
    </xf>
    <xf numFmtId="171" fontId="6" fillId="11" borderId="59" xfId="0" applyNumberFormat="1" applyFont="1" applyFill="1" applyBorder="1" applyAlignment="1">
      <alignment horizontal="center" vertical="center"/>
    </xf>
    <xf numFmtId="186" fontId="6" fillId="11" borderId="81" xfId="0" applyNumberFormat="1" applyFont="1" applyFill="1" applyBorder="1" applyAlignment="1">
      <alignment horizontal="center" vertical="center"/>
    </xf>
    <xf numFmtId="172" fontId="12" fillId="11" borderId="73" xfId="0" applyNumberFormat="1" applyFont="1" applyFill="1" applyBorder="1" applyAlignment="1">
      <alignment horizontal="center" vertical="center"/>
    </xf>
    <xf numFmtId="172" fontId="8" fillId="11" borderId="73" xfId="7" applyNumberFormat="1" applyFont="1" applyFill="1" applyBorder="1" applyAlignment="1">
      <alignment horizontal="center" vertical="center"/>
    </xf>
    <xf numFmtId="171" fontId="6" fillId="11" borderId="111" xfId="0" applyNumberFormat="1" applyFont="1" applyFill="1" applyBorder="1" applyAlignment="1">
      <alignment horizontal="center" vertical="center"/>
    </xf>
    <xf numFmtId="0" fontId="0" fillId="11" borderId="117" xfId="0" applyFill="1" applyBorder="1" applyAlignment="1">
      <alignment horizontal="center"/>
    </xf>
    <xf numFmtId="0" fontId="0" fillId="11" borderId="87" xfId="0" applyFill="1" applyBorder="1" applyAlignment="1">
      <alignment horizontal="center"/>
    </xf>
    <xf numFmtId="170" fontId="8" fillId="11" borderId="114" xfId="0" applyNumberFormat="1" applyFont="1" applyFill="1" applyBorder="1" applyAlignment="1">
      <alignment horizontal="right" vertical="center"/>
    </xf>
    <xf numFmtId="0" fontId="5" fillId="11" borderId="87" xfId="8" applyFont="1" applyFill="1" applyBorder="1" applyAlignment="1" applyProtection="1">
      <alignment horizontal="center" vertical="center"/>
    </xf>
    <xf numFmtId="0" fontId="48" fillId="0" borderId="90" xfId="8" applyFont="1" applyBorder="1" applyAlignment="1" applyProtection="1">
      <alignment horizontal="center" vertical="center"/>
    </xf>
    <xf numFmtId="170" fontId="6" fillId="11" borderId="34" xfId="0" applyNumberFormat="1" applyFont="1" applyFill="1" applyBorder="1" applyAlignment="1">
      <alignment horizontal="right" vertical="center"/>
    </xf>
    <xf numFmtId="170" fontId="6" fillId="11" borderId="6" xfId="0" applyNumberFormat="1" applyFont="1" applyFill="1" applyBorder="1" applyAlignment="1">
      <alignment horizontal="right" vertical="center"/>
    </xf>
    <xf numFmtId="187" fontId="13" fillId="0" borderId="58" xfId="0" applyNumberFormat="1" applyFont="1" applyBorder="1" applyAlignment="1">
      <alignment horizontal="center" vertical="center"/>
    </xf>
    <xf numFmtId="187" fontId="13" fillId="0" borderId="112" xfId="0" applyNumberFormat="1" applyFont="1" applyBorder="1" applyAlignment="1">
      <alignment horizontal="center" vertical="center"/>
    </xf>
    <xf numFmtId="172" fontId="8" fillId="0" borderId="112" xfId="0" applyNumberFormat="1" applyFont="1" applyBorder="1" applyAlignment="1">
      <alignment horizontal="center" vertical="center"/>
    </xf>
    <xf numFmtId="171" fontId="6" fillId="11" borderId="112" xfId="0" applyNumberFormat="1" applyFont="1" applyFill="1" applyBorder="1" applyAlignment="1">
      <alignment horizontal="center" vertical="center"/>
    </xf>
    <xf numFmtId="186" fontId="6" fillId="11" borderId="112" xfId="0" applyNumberFormat="1" applyFont="1" applyFill="1" applyBorder="1" applyAlignment="1">
      <alignment horizontal="center" vertical="center"/>
    </xf>
    <xf numFmtId="187" fontId="13" fillId="11" borderId="58" xfId="0" applyNumberFormat="1" applyFont="1" applyFill="1" applyBorder="1" applyAlignment="1">
      <alignment horizontal="center" vertical="center"/>
    </xf>
    <xf numFmtId="187" fontId="13" fillId="11" borderId="112" xfId="0" applyNumberFormat="1" applyFont="1" applyFill="1" applyBorder="1" applyAlignment="1">
      <alignment horizontal="center" vertical="center"/>
    </xf>
    <xf numFmtId="172" fontId="8" fillId="11" borderId="112" xfId="0" applyNumberFormat="1" applyFont="1" applyFill="1" applyBorder="1" applyAlignment="1">
      <alignment horizontal="center" vertical="center"/>
    </xf>
    <xf numFmtId="186" fontId="8" fillId="11" borderId="112" xfId="0" applyNumberFormat="1" applyFont="1" applyFill="1" applyBorder="1" applyAlignment="1">
      <alignment horizontal="center" vertical="center"/>
    </xf>
    <xf numFmtId="186" fontId="6" fillId="11" borderId="115" xfId="0" applyNumberFormat="1" applyFont="1" applyFill="1" applyBorder="1" applyAlignment="1">
      <alignment horizontal="center" vertical="center"/>
    </xf>
    <xf numFmtId="170" fontId="8" fillId="11" borderId="13" xfId="0" applyNumberFormat="1" applyFont="1" applyFill="1" applyBorder="1" applyAlignment="1">
      <alignment horizontal="right" vertical="center"/>
    </xf>
    <xf numFmtId="186" fontId="8" fillId="11" borderId="12" xfId="0" applyNumberFormat="1" applyFont="1" applyFill="1" applyBorder="1" applyAlignment="1">
      <alignment horizontal="right" vertical="center"/>
    </xf>
    <xf numFmtId="172" fontId="8" fillId="0" borderId="113" xfId="0" applyNumberFormat="1" applyFont="1" applyBorder="1" applyAlignment="1">
      <alignment horizontal="center" vertical="center"/>
    </xf>
    <xf numFmtId="171" fontId="6" fillId="0" borderId="112" xfId="0" applyNumberFormat="1" applyFont="1" applyBorder="1" applyAlignment="1">
      <alignment horizontal="center" vertical="center"/>
    </xf>
    <xf numFmtId="172" fontId="6" fillId="0" borderId="112" xfId="0" applyNumberFormat="1" applyFont="1" applyBorder="1" applyAlignment="1">
      <alignment horizontal="center" vertical="center"/>
    </xf>
    <xf numFmtId="172" fontId="8" fillId="4" borderId="115" xfId="0" applyNumberFormat="1" applyFont="1" applyFill="1" applyBorder="1" applyAlignment="1">
      <alignment horizontal="center" vertical="center"/>
    </xf>
    <xf numFmtId="172" fontId="8" fillId="11" borderId="113" xfId="0" applyNumberFormat="1" applyFont="1" applyFill="1" applyBorder="1" applyAlignment="1">
      <alignment horizontal="center" vertical="center"/>
    </xf>
    <xf numFmtId="172" fontId="6" fillId="11" borderId="112" xfId="0" applyNumberFormat="1" applyFont="1" applyFill="1" applyBorder="1" applyAlignment="1">
      <alignment horizontal="center" vertical="center"/>
    </xf>
    <xf numFmtId="171" fontId="6" fillId="11" borderId="115" xfId="0" applyNumberFormat="1" applyFont="1" applyFill="1" applyBorder="1" applyAlignment="1">
      <alignment horizontal="center" vertical="center"/>
    </xf>
    <xf numFmtId="172" fontId="8" fillId="11" borderId="115" xfId="0" applyNumberFormat="1" applyFont="1" applyFill="1" applyBorder="1" applyAlignment="1">
      <alignment horizontal="center" vertical="center"/>
    </xf>
    <xf numFmtId="0" fontId="66" fillId="0" borderId="0" xfId="8" applyFont="1" applyBorder="1" applyAlignment="1" applyProtection="1">
      <alignment vertical="center"/>
    </xf>
    <xf numFmtId="0" fontId="142" fillId="0" borderId="0" xfId="0" applyFont="1" applyBorder="1" applyAlignment="1"/>
    <xf numFmtId="172" fontId="6" fillId="0" borderId="114" xfId="0" applyNumberFormat="1" applyFont="1" applyBorder="1" applyAlignment="1">
      <alignment vertical="center"/>
    </xf>
    <xf numFmtId="173" fontId="5" fillId="4" borderId="142" xfId="0" applyNumberFormat="1" applyFont="1" applyFill="1" applyBorder="1" applyAlignment="1">
      <alignment horizontal="center" vertical="center"/>
    </xf>
    <xf numFmtId="0" fontId="5" fillId="11" borderId="5" xfId="8" applyFont="1" applyFill="1" applyBorder="1" applyAlignment="1" applyProtection="1">
      <alignment vertical="center"/>
    </xf>
    <xf numFmtId="0" fontId="12" fillId="11" borderId="5" xfId="8" applyFont="1" applyFill="1" applyBorder="1" applyAlignment="1" applyProtection="1">
      <alignment horizontal="right" vertical="center"/>
    </xf>
    <xf numFmtId="0" fontId="12" fillId="0" borderId="4" xfId="8" applyFont="1" applyBorder="1" applyAlignment="1" applyProtection="1">
      <alignment vertical="center"/>
    </xf>
    <xf numFmtId="172" fontId="8" fillId="0" borderId="117" xfId="0" applyNumberFormat="1" applyFont="1" applyBorder="1" applyAlignment="1">
      <alignment vertical="center"/>
    </xf>
    <xf numFmtId="172" fontId="8" fillId="11" borderId="20" xfId="0" applyNumberFormat="1" applyFont="1" applyFill="1" applyBorder="1" applyAlignment="1">
      <alignment vertical="center"/>
    </xf>
    <xf numFmtId="171" fontId="6" fillId="0" borderId="72" xfId="0" applyNumberFormat="1" applyFont="1" applyBorder="1" applyAlignment="1">
      <alignment vertical="center"/>
    </xf>
    <xf numFmtId="171" fontId="6" fillId="11" borderId="2" xfId="0" applyNumberFormat="1" applyFont="1" applyFill="1" applyBorder="1" applyAlignment="1">
      <alignment vertical="center"/>
    </xf>
    <xf numFmtId="172" fontId="6" fillId="0" borderId="112" xfId="7" applyNumberFormat="1" applyFont="1" applyBorder="1" applyAlignment="1">
      <alignment vertical="center"/>
    </xf>
    <xf numFmtId="172" fontId="8" fillId="0" borderId="115" xfId="0" applyNumberFormat="1" applyFont="1" applyBorder="1" applyAlignment="1">
      <alignment vertical="center"/>
    </xf>
    <xf numFmtId="172" fontId="8" fillId="11" borderId="112" xfId="0" applyNumberFormat="1" applyFont="1" applyFill="1" applyBorder="1" applyAlignment="1">
      <alignment vertical="center"/>
    </xf>
    <xf numFmtId="172" fontId="8" fillId="0" borderId="113" xfId="0" applyNumberFormat="1" applyFont="1" applyBorder="1" applyAlignment="1">
      <alignment vertical="center"/>
    </xf>
    <xf numFmtId="0" fontId="48" fillId="0" borderId="0" xfId="0" applyFont="1" applyBorder="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8" fillId="11" borderId="84" xfId="8" applyFont="1" applyFill="1" applyBorder="1" applyAlignment="1" applyProtection="1">
      <alignment horizontal="center" vertical="center"/>
    </xf>
    <xf numFmtId="0" fontId="48" fillId="0" borderId="7" xfId="8" applyFont="1" applyBorder="1" applyAlignment="1" applyProtection="1">
      <alignment horizontal="center" vertical="center"/>
    </xf>
    <xf numFmtId="0" fontId="48" fillId="0" borderId="74" xfId="8" applyFont="1" applyBorder="1" applyAlignment="1" applyProtection="1">
      <alignment horizontal="center" vertical="center"/>
    </xf>
    <xf numFmtId="0" fontId="48" fillId="0" borderId="72" xfId="8" applyFont="1" applyBorder="1" applyAlignment="1" applyProtection="1">
      <alignment horizontal="center" vertical="top"/>
    </xf>
    <xf numFmtId="0" fontId="11" fillId="0" borderId="0" xfId="8" applyFont="1" applyBorder="1" applyAlignment="1" applyProtection="1">
      <alignment vertical="top"/>
    </xf>
    <xf numFmtId="0" fontId="6" fillId="0" borderId="0" xfId="8" applyFont="1" applyBorder="1" applyAlignment="1" applyProtection="1">
      <alignment vertical="top"/>
    </xf>
    <xf numFmtId="0" fontId="48" fillId="0" borderId="0" xfId="0" applyFont="1" applyBorder="1" applyAlignment="1">
      <alignment vertical="center"/>
    </xf>
    <xf numFmtId="0" fontId="48" fillId="0" borderId="0" xfId="0" applyFont="1" applyAlignment="1"/>
    <xf numFmtId="14" fontId="48" fillId="0" borderId="0" xfId="0" applyNumberFormat="1" applyFont="1" applyAlignment="1">
      <alignment vertical="center"/>
    </xf>
    <xf numFmtId="0" fontId="66" fillId="0" borderId="8" xfId="0" applyFont="1" applyBorder="1" applyAlignment="1">
      <alignment vertical="center"/>
    </xf>
    <xf numFmtId="0" fontId="66" fillId="0" borderId="5" xfId="0" applyFont="1" applyBorder="1" applyAlignment="1">
      <alignment vertical="center"/>
    </xf>
    <xf numFmtId="0" fontId="66" fillId="0" borderId="0" xfId="0" applyFont="1" applyBorder="1" applyAlignment="1">
      <alignment vertical="center"/>
    </xf>
    <xf numFmtId="0" fontId="48" fillId="0" borderId="0" xfId="8" applyFont="1" applyBorder="1" applyAlignment="1">
      <alignment vertical="center"/>
    </xf>
    <xf numFmtId="0" fontId="48" fillId="0" borderId="4" xfId="8" applyFont="1" applyBorder="1" applyAlignment="1" applyProtection="1">
      <alignment vertical="center"/>
    </xf>
    <xf numFmtId="0" fontId="66" fillId="0" borderId="4" xfId="8" applyFont="1" applyBorder="1" applyAlignment="1" applyProtection="1">
      <alignment vertical="center"/>
    </xf>
    <xf numFmtId="0" fontId="66" fillId="0" borderId="5" xfId="8" applyFont="1" applyBorder="1" applyAlignment="1" applyProtection="1">
      <alignment vertical="center"/>
    </xf>
    <xf numFmtId="0" fontId="66" fillId="11" borderId="0" xfId="8" applyFont="1" applyFill="1" applyBorder="1" applyAlignment="1" applyProtection="1">
      <alignment vertical="center"/>
    </xf>
    <xf numFmtId="0" fontId="66" fillId="11" borderId="5" xfId="8" applyFont="1" applyFill="1" applyBorder="1" applyAlignment="1" applyProtection="1">
      <alignment vertical="center"/>
    </xf>
    <xf numFmtId="0" fontId="66" fillId="0" borderId="11" xfId="8" applyFont="1" applyBorder="1" applyAlignment="1" applyProtection="1">
      <alignment vertical="center"/>
    </xf>
    <xf numFmtId="0" fontId="66" fillId="11" borderId="4" xfId="8" applyFont="1" applyFill="1" applyBorder="1" applyAlignment="1" applyProtection="1">
      <alignment vertical="center"/>
    </xf>
    <xf numFmtId="166" fontId="48" fillId="0" borderId="5" xfId="8" applyNumberFormat="1" applyFont="1" applyBorder="1" applyAlignment="1" applyProtection="1">
      <alignment vertical="center"/>
    </xf>
    <xf numFmtId="166" fontId="48" fillId="0" borderId="0" xfId="8" applyNumberFormat="1" applyFont="1" applyBorder="1" applyAlignment="1" applyProtection="1">
      <alignment vertical="center"/>
    </xf>
    <xf numFmtId="0" fontId="48" fillId="0" borderId="5" xfId="8" applyFont="1" applyBorder="1" applyAlignment="1" applyProtection="1">
      <alignment vertical="center"/>
    </xf>
    <xf numFmtId="0" fontId="48" fillId="0" borderId="0" xfId="8" applyFont="1" applyAlignment="1">
      <alignment vertical="center"/>
    </xf>
    <xf numFmtId="0" fontId="149" fillId="0" borderId="0" xfId="8" applyFont="1" applyBorder="1" applyAlignment="1" applyProtection="1"/>
    <xf numFmtId="0" fontId="66" fillId="0" borderId="0" xfId="8" applyFont="1" applyBorder="1" applyAlignment="1" applyProtection="1"/>
    <xf numFmtId="0" fontId="21" fillId="0" borderId="0" xfId="0" applyFont="1" applyAlignment="1">
      <alignment vertical="center"/>
    </xf>
    <xf numFmtId="0" fontId="21" fillId="0" borderId="0" xfId="0" applyFont="1" applyAlignment="1">
      <alignment horizontal="right" vertical="center"/>
    </xf>
    <xf numFmtId="14" fontId="8" fillId="0" borderId="0" xfId="0" applyNumberFormat="1" applyFont="1" applyAlignment="1">
      <alignment horizontal="left"/>
    </xf>
    <xf numFmtId="172" fontId="6" fillId="0" borderId="115" xfId="0" applyNumberFormat="1" applyFont="1" applyBorder="1" applyAlignment="1">
      <alignment vertical="center"/>
    </xf>
    <xf numFmtId="0" fontId="48" fillId="0" borderId="86" xfId="0" applyFont="1" applyBorder="1" applyAlignment="1">
      <alignment horizontal="center" vertical="center"/>
    </xf>
    <xf numFmtId="0" fontId="5" fillId="0" borderId="4" xfId="0" applyFont="1" applyBorder="1" applyAlignment="1">
      <alignment vertical="center"/>
    </xf>
    <xf numFmtId="0" fontId="66" fillId="0" borderId="4" xfId="0" applyFont="1" applyBorder="1" applyAlignment="1">
      <alignment vertical="center"/>
    </xf>
    <xf numFmtId="0" fontId="12" fillId="0" borderId="4" xfId="0" applyFont="1" applyBorder="1" applyAlignment="1">
      <alignment vertical="center"/>
    </xf>
    <xf numFmtId="3" fontId="5" fillId="4" borderId="117" xfId="0" applyNumberFormat="1" applyFont="1" applyFill="1" applyBorder="1" applyAlignment="1">
      <alignment horizontal="center" vertical="center"/>
    </xf>
    <xf numFmtId="3" fontId="5" fillId="11" borderId="20" xfId="0" applyNumberFormat="1" applyFont="1" applyFill="1" applyBorder="1" applyAlignment="1">
      <alignment horizontal="center" vertical="center"/>
    </xf>
    <xf numFmtId="3" fontId="5" fillId="4" borderId="113" xfId="0" applyNumberFormat="1" applyFont="1" applyFill="1" applyBorder="1" applyAlignment="1">
      <alignment horizontal="center" vertical="center"/>
    </xf>
    <xf numFmtId="0" fontId="48" fillId="0" borderId="143" xfId="0" applyFont="1" applyBorder="1" applyAlignment="1">
      <alignment horizontal="center" vertical="center"/>
    </xf>
    <xf numFmtId="0" fontId="52" fillId="0" borderId="144" xfId="0" applyFont="1" applyBorder="1" applyAlignment="1">
      <alignment vertical="center"/>
    </xf>
    <xf numFmtId="0" fontId="48" fillId="0" borderId="144" xfId="0" applyFont="1" applyBorder="1" applyAlignment="1">
      <alignment vertical="center"/>
    </xf>
    <xf numFmtId="0" fontId="8" fillId="0" borderId="144" xfId="0" applyFont="1" applyBorder="1" applyAlignment="1">
      <alignment vertical="center"/>
    </xf>
    <xf numFmtId="0" fontId="8" fillId="0" borderId="145" xfId="0" applyFont="1" applyBorder="1" applyAlignment="1">
      <alignment vertical="center"/>
    </xf>
    <xf numFmtId="4" fontId="52" fillId="4" borderId="146" xfId="0" applyNumberFormat="1" applyFont="1" applyFill="1" applyBorder="1" applyAlignment="1">
      <alignment horizontal="center" vertical="center"/>
    </xf>
    <xf numFmtId="4" fontId="52" fillId="11" borderId="147" xfId="0" applyNumberFormat="1" applyFont="1" applyFill="1" applyBorder="1" applyAlignment="1">
      <alignment horizontal="center" vertical="center"/>
    </xf>
    <xf numFmtId="4" fontId="52" fillId="4" borderId="148" xfId="0" applyNumberFormat="1" applyFont="1" applyFill="1" applyBorder="1" applyAlignment="1">
      <alignment horizontal="center" vertical="center"/>
    </xf>
    <xf numFmtId="0" fontId="150" fillId="0" borderId="75" xfId="8" applyFont="1" applyBorder="1" applyAlignment="1" applyProtection="1">
      <alignment vertical="center"/>
    </xf>
    <xf numFmtId="0" fontId="90" fillId="0" borderId="75" xfId="8" applyFont="1" applyBorder="1" applyAlignment="1" applyProtection="1">
      <alignment vertical="center"/>
    </xf>
    <xf numFmtId="0" fontId="124" fillId="0" borderId="75" xfId="8" applyFont="1" applyBorder="1" applyAlignment="1" applyProtection="1">
      <alignment vertical="center"/>
    </xf>
    <xf numFmtId="0" fontId="151" fillId="0" borderId="75" xfId="8" applyFont="1" applyBorder="1" applyAlignment="1" applyProtection="1">
      <alignment vertical="center"/>
    </xf>
    <xf numFmtId="172" fontId="90" fillId="0" borderId="74" xfId="0" applyNumberFormat="1" applyFont="1" applyBorder="1" applyAlignment="1">
      <alignment vertical="center"/>
    </xf>
    <xf numFmtId="172" fontId="90" fillId="11" borderId="149" xfId="0" applyNumberFormat="1" applyFont="1" applyFill="1" applyBorder="1" applyAlignment="1">
      <alignment vertical="center"/>
    </xf>
    <xf numFmtId="172" fontId="90" fillId="0" borderId="150" xfId="0" applyNumberFormat="1" applyFont="1" applyBorder="1" applyAlignment="1">
      <alignment vertical="center"/>
    </xf>
    <xf numFmtId="0" fontId="145" fillId="0" borderId="8" xfId="8" applyFont="1" applyBorder="1" applyAlignment="1" applyProtection="1">
      <alignment vertical="center"/>
    </xf>
    <xf numFmtId="0" fontId="147" fillId="0" borderId="8" xfId="8" applyFont="1" applyBorder="1" applyAlignment="1" applyProtection="1">
      <alignment vertical="center"/>
    </xf>
    <xf numFmtId="0" fontId="152" fillId="0" borderId="8" xfId="8" applyFont="1" applyBorder="1" applyAlignment="1" applyProtection="1">
      <alignment vertical="center"/>
    </xf>
    <xf numFmtId="0" fontId="146" fillId="4" borderId="8" xfId="8" applyFont="1" applyFill="1" applyBorder="1" applyAlignment="1" applyProtection="1">
      <alignment vertical="center"/>
    </xf>
    <xf numFmtId="0" fontId="146" fillId="4" borderId="9" xfId="8" applyFont="1" applyFill="1" applyBorder="1" applyAlignment="1" applyProtection="1">
      <alignment vertical="center"/>
    </xf>
    <xf numFmtId="0" fontId="52" fillId="0" borderId="81" xfId="0" applyFont="1" applyBorder="1" applyAlignment="1" applyProtection="1">
      <alignment horizontal="centerContinuous" vertical="center"/>
    </xf>
    <xf numFmtId="0" fontId="7" fillId="0" borderId="8" xfId="0" applyFont="1" applyBorder="1" applyAlignment="1" applyProtection="1">
      <alignment vertical="center"/>
    </xf>
    <xf numFmtId="0" fontId="7" fillId="0" borderId="4" xfId="0" applyFont="1" applyBorder="1" applyAlignment="1" applyProtection="1">
      <alignment vertical="center"/>
    </xf>
    <xf numFmtId="0" fontId="7" fillId="0" borderId="11" xfId="0" applyFont="1" applyBorder="1" applyAlignment="1" applyProtection="1">
      <alignment vertical="center"/>
    </xf>
    <xf numFmtId="0" fontId="8" fillId="0" borderId="11" xfId="0" applyFont="1" applyBorder="1" applyAlignment="1" applyProtection="1">
      <alignment horizontal="left" vertical="center"/>
    </xf>
    <xf numFmtId="166" fontId="77" fillId="0" borderId="3" xfId="0" applyNumberFormat="1" applyFont="1" applyFill="1" applyBorder="1" applyAlignment="1" applyProtection="1">
      <alignment horizontal="right" vertical="center"/>
    </xf>
    <xf numFmtId="0" fontId="77" fillId="0" borderId="6" xfId="0" applyFont="1" applyFill="1" applyBorder="1" applyAlignment="1" applyProtection="1">
      <alignment vertical="center"/>
    </xf>
    <xf numFmtId="166" fontId="77" fillId="0" borderId="5" xfId="0" applyNumberFormat="1" applyFont="1" applyFill="1" applyBorder="1" applyAlignment="1" applyProtection="1">
      <alignment horizontal="right" vertical="center"/>
    </xf>
    <xf numFmtId="0" fontId="77" fillId="0" borderId="5" xfId="0" applyFont="1" applyFill="1" applyBorder="1" applyAlignment="1" applyProtection="1">
      <alignment vertical="center"/>
    </xf>
    <xf numFmtId="0" fontId="6" fillId="0" borderId="6" xfId="0" applyFont="1" applyFill="1" applyBorder="1" applyAlignment="1" applyProtection="1">
      <alignment vertical="center"/>
    </xf>
    <xf numFmtId="0" fontId="153" fillId="0" borderId="0" xfId="0" applyFont="1" applyBorder="1" applyAlignment="1">
      <alignment vertical="center"/>
    </xf>
    <xf numFmtId="0" fontId="12" fillId="0" borderId="11" xfId="0" applyFont="1" applyFill="1" applyBorder="1" applyAlignment="1">
      <alignment horizontal="center"/>
    </xf>
    <xf numFmtId="0" fontId="12" fillId="0" borderId="20" xfId="0" applyFont="1" applyFill="1" applyBorder="1" applyAlignment="1">
      <alignment horizontal="center"/>
    </xf>
    <xf numFmtId="0" fontId="12" fillId="0" borderId="23" xfId="0" applyFont="1" applyFill="1" applyBorder="1" applyAlignment="1">
      <alignment horizontal="center"/>
    </xf>
    <xf numFmtId="0" fontId="12" fillId="0" borderId="33" xfId="0" applyFont="1" applyFill="1" applyBorder="1" applyAlignment="1">
      <alignment horizontal="center"/>
    </xf>
    <xf numFmtId="0" fontId="12" fillId="0" borderId="34" xfId="0" applyFont="1" applyFill="1" applyBorder="1" applyAlignment="1">
      <alignment horizontal="center"/>
    </xf>
    <xf numFmtId="0" fontId="12" fillId="0" borderId="13" xfId="0" applyFont="1" applyFill="1" applyBorder="1" applyAlignment="1">
      <alignment horizontal="center"/>
    </xf>
    <xf numFmtId="0" fontId="12" fillId="0" borderId="12" xfId="0" applyFont="1" applyFill="1" applyBorder="1" applyAlignment="1">
      <alignment horizontal="center"/>
    </xf>
    <xf numFmtId="0" fontId="12" fillId="0" borderId="6" xfId="0" applyFont="1" applyFill="1" applyBorder="1" applyAlignment="1">
      <alignment horizontal="center"/>
    </xf>
    <xf numFmtId="1" fontId="12" fillId="0" borderId="2" xfId="0" applyNumberFormat="1" applyFont="1" applyFill="1" applyBorder="1" applyAlignment="1">
      <alignment horizontal="right"/>
    </xf>
    <xf numFmtId="1" fontId="12" fillId="0" borderId="3" xfId="0" applyNumberFormat="1" applyFont="1" applyFill="1" applyBorder="1" applyAlignment="1">
      <alignment horizontal="right"/>
    </xf>
    <xf numFmtId="0" fontId="6" fillId="0" borderId="11" xfId="0" applyFont="1" applyBorder="1"/>
    <xf numFmtId="0" fontId="8" fillId="0" borderId="4" xfId="0" applyFont="1" applyBorder="1" applyAlignment="1">
      <alignment horizontal="right"/>
    </xf>
    <xf numFmtId="0" fontId="7" fillId="0" borderId="13" xfId="0" applyFont="1" applyBorder="1" applyAlignment="1" applyProtection="1">
      <alignment vertical="center"/>
    </xf>
    <xf numFmtId="0" fontId="7" fillId="0" borderId="6" xfId="0" applyFont="1" applyBorder="1" applyAlignment="1" applyProtection="1">
      <alignment vertical="center"/>
    </xf>
    <xf numFmtId="0" fontId="12" fillId="0" borderId="151" xfId="0" applyFont="1" applyBorder="1"/>
    <xf numFmtId="0" fontId="8" fillId="0" borderId="17" xfId="0" applyFont="1" applyBorder="1" applyAlignment="1" applyProtection="1">
      <alignment horizontal="right" vertical="center"/>
    </xf>
    <xf numFmtId="0" fontId="7" fillId="0" borderId="152" xfId="0" applyFont="1" applyBorder="1" applyAlignment="1" applyProtection="1">
      <alignment vertical="center"/>
    </xf>
    <xf numFmtId="0" fontId="12" fillId="0" borderId="17" xfId="0" applyFont="1" applyBorder="1"/>
    <xf numFmtId="0" fontId="12" fillId="0" borderId="152" xfId="0" applyFont="1" applyBorder="1"/>
    <xf numFmtId="0" fontId="62" fillId="0" borderId="0" xfId="0" applyFont="1" applyBorder="1"/>
    <xf numFmtId="0" fontId="20" fillId="0" borderId="34" xfId="0" applyFont="1" applyBorder="1" applyAlignment="1">
      <alignment horizontal="center"/>
    </xf>
    <xf numFmtId="3" fontId="62" fillId="0" borderId="23" xfId="0" applyNumberFormat="1" applyFont="1" applyBorder="1"/>
    <xf numFmtId="3" fontId="62" fillId="11" borderId="23" xfId="0" applyNumberFormat="1" applyFont="1" applyFill="1" applyBorder="1"/>
    <xf numFmtId="3" fontId="62" fillId="0" borderId="0" xfId="0" applyNumberFormat="1" applyFont="1" applyBorder="1"/>
    <xf numFmtId="3" fontId="62" fillId="0" borderId="12" xfId="0" applyNumberFormat="1" applyFont="1" applyBorder="1"/>
    <xf numFmtId="0" fontId="69" fillId="0" borderId="4" xfId="0" applyFont="1" applyBorder="1" applyAlignment="1" applyProtection="1">
      <alignment vertical="center"/>
    </xf>
    <xf numFmtId="2" fontId="15" fillId="0" borderId="0" xfId="0" applyNumberFormat="1" applyFont="1"/>
    <xf numFmtId="9" fontId="23" fillId="0" borderId="0" xfId="0" applyNumberFormat="1" applyFont="1" applyAlignment="1" applyProtection="1">
      <alignment vertical="center"/>
    </xf>
    <xf numFmtId="0" fontId="6" fillId="0" borderId="0" xfId="0" applyFont="1" applyBorder="1" applyAlignment="1">
      <alignment vertical="top"/>
    </xf>
    <xf numFmtId="0" fontId="6" fillId="0" borderId="0" xfId="0" applyFont="1" applyAlignment="1">
      <alignment vertical="center"/>
    </xf>
    <xf numFmtId="0" fontId="154" fillId="0" borderId="0" xfId="0" applyFont="1" applyBorder="1" applyAlignment="1">
      <alignment vertical="center"/>
    </xf>
    <xf numFmtId="186" fontId="8" fillId="11" borderId="73" xfId="0" applyNumberFormat="1" applyFont="1" applyFill="1" applyBorder="1" applyAlignment="1">
      <alignment horizontal="center" vertical="center"/>
    </xf>
    <xf numFmtId="170" fontId="8" fillId="0" borderId="153" xfId="0" applyNumberFormat="1" applyFont="1" applyBorder="1" applyAlignment="1">
      <alignment horizontal="right" vertical="center"/>
    </xf>
    <xf numFmtId="170" fontId="8" fillId="11" borderId="82" xfId="0" applyNumberFormat="1" applyFont="1" applyFill="1" applyBorder="1" applyAlignment="1">
      <alignment horizontal="right" vertical="center"/>
    </xf>
    <xf numFmtId="170" fontId="8" fillId="0" borderId="82" xfId="0" applyNumberFormat="1" applyFont="1" applyBorder="1" applyAlignment="1">
      <alignment horizontal="right" vertical="center"/>
    </xf>
    <xf numFmtId="0" fontId="48" fillId="3" borderId="7" xfId="8" applyFont="1" applyFill="1" applyBorder="1" applyAlignment="1" applyProtection="1">
      <alignment horizontal="center" vertical="center"/>
    </xf>
    <xf numFmtId="0" fontId="144" fillId="3" borderId="8" xfId="8" applyFont="1" applyFill="1" applyBorder="1" applyAlignment="1" applyProtection="1">
      <alignment vertical="center"/>
    </xf>
    <xf numFmtId="0" fontId="6" fillId="3" borderId="8" xfId="8" applyFont="1" applyFill="1" applyBorder="1" applyAlignment="1" applyProtection="1">
      <alignment vertical="center"/>
    </xf>
    <xf numFmtId="0" fontId="34" fillId="3" borderId="8" xfId="8" applyFont="1" applyFill="1" applyBorder="1" applyAlignment="1" applyProtection="1">
      <alignment vertical="center"/>
    </xf>
    <xf numFmtId="0" fontId="146" fillId="3" borderId="8" xfId="8" applyFont="1" applyFill="1" applyBorder="1" applyAlignment="1" applyProtection="1">
      <alignment horizontal="right" vertical="center"/>
    </xf>
    <xf numFmtId="0" fontId="146" fillId="3" borderId="9" xfId="8" applyFont="1" applyFill="1" applyBorder="1" applyAlignment="1" applyProtection="1">
      <alignment vertical="center"/>
    </xf>
    <xf numFmtId="170" fontId="147" fillId="3" borderId="110" xfId="0" applyNumberFormat="1" applyFont="1" applyFill="1" applyBorder="1" applyAlignment="1">
      <alignment horizontal="right" vertical="center"/>
    </xf>
    <xf numFmtId="171" fontId="147" fillId="3" borderId="142" xfId="0" applyNumberFormat="1" applyFont="1" applyFill="1" applyBorder="1" applyAlignment="1">
      <alignment horizontal="center" vertical="center"/>
    </xf>
    <xf numFmtId="170" fontId="147" fillId="3" borderId="80" xfId="0" applyNumberFormat="1" applyFont="1" applyFill="1" applyBorder="1" applyAlignment="1">
      <alignment horizontal="right" vertical="center"/>
    </xf>
    <xf numFmtId="172" fontId="147" fillId="0" borderId="109" xfId="0" applyNumberFormat="1" applyFont="1" applyBorder="1" applyAlignment="1">
      <alignment vertical="center"/>
    </xf>
    <xf numFmtId="172" fontId="147" fillId="11" borderId="110" xfId="0" applyNumberFormat="1" applyFont="1" applyFill="1" applyBorder="1" applyAlignment="1">
      <alignment vertical="center"/>
    </xf>
    <xf numFmtId="172" fontId="147" fillId="0" borderId="142" xfId="0" applyNumberFormat="1" applyFont="1" applyBorder="1" applyAlignment="1">
      <alignment vertical="center"/>
    </xf>
    <xf numFmtId="0" fontId="145" fillId="0" borderId="5" xfId="8" applyFont="1" applyBorder="1" applyAlignment="1" applyProtection="1">
      <alignment vertical="center"/>
    </xf>
    <xf numFmtId="0" fontId="147" fillId="0" borderId="5" xfId="8" applyFont="1" applyBorder="1" applyAlignment="1" applyProtection="1">
      <alignment vertical="center"/>
    </xf>
    <xf numFmtId="0" fontId="152" fillId="0" borderId="5" xfId="8" applyFont="1" applyBorder="1" applyAlignment="1" applyProtection="1">
      <alignment vertical="center"/>
    </xf>
    <xf numFmtId="0" fontId="146" fillId="4" borderId="5" xfId="8" applyFont="1" applyFill="1" applyBorder="1" applyAlignment="1" applyProtection="1">
      <alignment horizontal="right" vertical="center"/>
    </xf>
    <xf numFmtId="0" fontId="146" fillId="4" borderId="5" xfId="8" applyFont="1" applyFill="1" applyBorder="1" applyAlignment="1" applyProtection="1">
      <alignment vertical="center"/>
    </xf>
    <xf numFmtId="172" fontId="147" fillId="0" borderId="114" xfId="0" applyNumberFormat="1" applyFont="1" applyBorder="1" applyAlignment="1">
      <alignment vertical="center"/>
    </xf>
    <xf numFmtId="172" fontId="147" fillId="11" borderId="33" xfId="0" applyNumberFormat="1" applyFont="1" applyFill="1" applyBorder="1" applyAlignment="1">
      <alignment vertical="center"/>
    </xf>
    <xf numFmtId="172" fontId="147" fillId="0" borderId="115" xfId="0" applyNumberFormat="1" applyFont="1" applyBorder="1" applyAlignment="1">
      <alignment vertical="center"/>
    </xf>
    <xf numFmtId="182" fontId="15" fillId="11" borderId="83" xfId="0" applyNumberFormat="1" applyFont="1" applyFill="1" applyBorder="1" applyAlignment="1" applyProtection="1">
      <alignment vertical="center"/>
    </xf>
    <xf numFmtId="166" fontId="15" fillId="0" borderId="83" xfId="0" applyNumberFormat="1" applyFont="1" applyBorder="1" applyAlignment="1" applyProtection="1">
      <alignment vertical="center"/>
    </xf>
    <xf numFmtId="208" fontId="64" fillId="0" borderId="82" xfId="0" applyNumberFormat="1" applyFont="1" applyBorder="1" applyAlignment="1" applyProtection="1">
      <alignment horizontal="right" vertical="center"/>
    </xf>
    <xf numFmtId="208" fontId="64" fillId="11" borderId="82" xfId="0" applyNumberFormat="1" applyFont="1" applyFill="1" applyBorder="1" applyAlignment="1" applyProtection="1">
      <alignment horizontal="right" vertical="center"/>
    </xf>
    <xf numFmtId="166" fontId="15" fillId="0" borderId="74" xfId="0" applyNumberFormat="1" applyFont="1" applyBorder="1" applyAlignment="1">
      <alignment horizontal="right" vertical="center"/>
    </xf>
    <xf numFmtId="172" fontId="4" fillId="0" borderId="116" xfId="7" applyNumberFormat="1" applyFont="1" applyBorder="1" applyAlignment="1" applyProtection="1">
      <alignment horizontal="centerContinuous" vertical="center"/>
    </xf>
    <xf numFmtId="0" fontId="8" fillId="0" borderId="87" xfId="0" applyFont="1" applyBorder="1" applyAlignment="1" applyProtection="1">
      <alignment horizontal="centerContinuous" vertical="center"/>
    </xf>
    <xf numFmtId="0" fontId="25" fillId="0" borderId="85" xfId="0" applyFont="1" applyBorder="1" applyAlignment="1" applyProtection="1">
      <alignment horizontal="centerContinuous" vertical="center"/>
    </xf>
    <xf numFmtId="0" fontId="1" fillId="4" borderId="73" xfId="0" applyFont="1" applyFill="1" applyBorder="1" applyAlignment="1" applyProtection="1">
      <alignment horizontal="right" vertical="center"/>
    </xf>
    <xf numFmtId="0" fontId="1" fillId="4" borderId="73" xfId="0" applyFont="1" applyFill="1" applyBorder="1" applyAlignment="1" applyProtection="1">
      <alignment horizontal="center" vertical="center"/>
    </xf>
    <xf numFmtId="180" fontId="6" fillId="0" borderId="87" xfId="0" applyNumberFormat="1" applyFont="1" applyBorder="1" applyAlignment="1" applyProtection="1">
      <alignment horizontal="right" vertical="center"/>
    </xf>
    <xf numFmtId="169" fontId="15" fillId="0" borderId="85" xfId="0" applyNumberFormat="1" applyFont="1" applyFill="1" applyBorder="1" applyAlignment="1" applyProtection="1">
      <alignment horizontal="right" vertical="center"/>
    </xf>
    <xf numFmtId="168" fontId="15" fillId="4" borderId="73" xfId="7" applyNumberFormat="1" applyFont="1" applyFill="1" applyBorder="1" applyAlignment="1" applyProtection="1">
      <alignment horizontal="right" vertical="center"/>
    </xf>
    <xf numFmtId="0" fontId="25" fillId="0" borderId="73" xfId="0" applyFont="1" applyBorder="1" applyAlignment="1" applyProtection="1">
      <alignment horizontal="right" vertical="center"/>
    </xf>
    <xf numFmtId="170" fontId="15" fillId="4" borderId="73" xfId="7" applyNumberFormat="1" applyFont="1" applyFill="1" applyBorder="1" applyAlignment="1" applyProtection="1">
      <alignment horizontal="right" vertical="center"/>
    </xf>
    <xf numFmtId="170" fontId="15" fillId="4" borderId="85" xfId="7" applyNumberFormat="1" applyFont="1" applyFill="1" applyBorder="1" applyAlignment="1" applyProtection="1">
      <alignment horizontal="right" vertical="center"/>
    </xf>
    <xf numFmtId="180" fontId="6" fillId="0" borderId="99" xfId="7" applyNumberFormat="1" applyFont="1" applyBorder="1" applyAlignment="1" applyProtection="1">
      <alignment horizontal="right" vertical="center"/>
    </xf>
    <xf numFmtId="170" fontId="15" fillId="0" borderId="154" xfId="0" applyNumberFormat="1" applyFont="1" applyBorder="1" applyAlignment="1" applyProtection="1">
      <alignment horizontal="right" vertical="center"/>
    </xf>
    <xf numFmtId="170" fontId="15" fillId="0" borderId="85" xfId="0" applyNumberFormat="1" applyFont="1" applyBorder="1" applyAlignment="1" applyProtection="1">
      <alignment horizontal="right" vertical="center"/>
    </xf>
    <xf numFmtId="170" fontId="15" fillId="4" borderId="73" xfId="0" applyNumberFormat="1" applyFont="1" applyFill="1" applyBorder="1" applyAlignment="1" applyProtection="1">
      <alignment horizontal="right" vertical="center"/>
    </xf>
    <xf numFmtId="170" fontId="15" fillId="0" borderId="85" xfId="7" applyNumberFormat="1" applyFont="1" applyBorder="1" applyAlignment="1" applyProtection="1">
      <alignment vertical="center"/>
    </xf>
    <xf numFmtId="170" fontId="25" fillId="0" borderId="85" xfId="7" applyNumberFormat="1" applyFont="1" applyBorder="1" applyAlignment="1" applyProtection="1">
      <alignment horizontal="right" vertical="center"/>
    </xf>
    <xf numFmtId="169" fontId="15" fillId="0" borderId="73" xfId="0" applyNumberFormat="1" applyFont="1" applyFill="1" applyBorder="1" applyAlignment="1" applyProtection="1">
      <alignment vertical="center"/>
    </xf>
    <xf numFmtId="170" fontId="15" fillId="0" borderId="73" xfId="0" applyNumberFormat="1" applyFont="1" applyFill="1" applyBorder="1" applyAlignment="1" applyProtection="1">
      <alignment vertical="center"/>
    </xf>
    <xf numFmtId="208" fontId="64" fillId="0" borderId="76" xfId="0" applyNumberFormat="1" applyFont="1" applyBorder="1" applyAlignment="1" applyProtection="1">
      <alignment horizontal="right" vertical="center"/>
    </xf>
    <xf numFmtId="178" fontId="12" fillId="4" borderId="0" xfId="0" applyNumberFormat="1" applyFont="1" applyFill="1" applyBorder="1" applyAlignment="1" applyProtection="1">
      <alignment vertical="center"/>
    </xf>
    <xf numFmtId="0" fontId="155" fillId="0" borderId="0" xfId="4" applyFont="1" applyAlignment="1" applyProtection="1">
      <alignment horizontal="left" vertical="top"/>
    </xf>
    <xf numFmtId="0" fontId="156" fillId="0" borderId="0" xfId="4" applyFont="1" applyAlignment="1" applyProtection="1"/>
    <xf numFmtId="180" fontId="15" fillId="0" borderId="34" xfId="0" applyNumberFormat="1" applyFont="1" applyBorder="1" applyAlignment="1" applyProtection="1">
      <alignment horizontal="centerContinuous" vertical="center"/>
    </xf>
    <xf numFmtId="0" fontId="15" fillId="0" borderId="11" xfId="0" applyFont="1" applyBorder="1" applyAlignment="1" applyProtection="1">
      <alignment horizontal="centerContinuous" vertical="center"/>
    </xf>
    <xf numFmtId="178" fontId="6" fillId="0" borderId="34" xfId="0" applyNumberFormat="1" applyFont="1" applyBorder="1" applyAlignment="1" applyProtection="1">
      <alignment horizontal="right" vertical="center"/>
    </xf>
    <xf numFmtId="171" fontId="8" fillId="0" borderId="27" xfId="0" applyNumberFormat="1" applyFont="1" applyBorder="1" applyAlignment="1" applyProtection="1">
      <alignment horizontal="center" vertical="center"/>
    </xf>
    <xf numFmtId="171" fontId="8" fillId="0" borderId="29" xfId="0" applyNumberFormat="1" applyFont="1" applyBorder="1" applyAlignment="1" applyProtection="1">
      <alignment horizontal="center" vertical="center"/>
    </xf>
    <xf numFmtId="0" fontId="0" fillId="8" borderId="0" xfId="0" applyFill="1" applyProtection="1">
      <protection locked="0"/>
    </xf>
    <xf numFmtId="2" fontId="0" fillId="8" borderId="0" xfId="0" applyNumberFormat="1" applyFill="1" applyProtection="1">
      <protection locked="0"/>
    </xf>
    <xf numFmtId="0" fontId="34" fillId="8" borderId="0" xfId="0" applyFont="1" applyFill="1" applyProtection="1">
      <protection locked="0"/>
    </xf>
    <xf numFmtId="1" fontId="48" fillId="3" borderId="1" xfId="0" applyNumberFormat="1" applyFont="1" applyFill="1" applyBorder="1" applyProtection="1">
      <protection locked="0"/>
    </xf>
    <xf numFmtId="0" fontId="0" fillId="9" borderId="1" xfId="0" applyFill="1" applyBorder="1" applyProtection="1">
      <protection locked="0"/>
    </xf>
    <xf numFmtId="0" fontId="0" fillId="0" borderId="34" xfId="0" applyBorder="1" applyAlignment="1">
      <alignment horizontal="center"/>
    </xf>
    <xf numFmtId="0" fontId="34" fillId="0" borderId="4" xfId="0" applyFont="1" applyBorder="1" applyAlignment="1">
      <alignment horizontal="center"/>
    </xf>
    <xf numFmtId="0" fontId="34" fillId="0" borderId="13" xfId="0" applyFont="1" applyBorder="1" applyAlignment="1">
      <alignment horizontal="center"/>
    </xf>
    <xf numFmtId="3" fontId="48" fillId="0" borderId="0" xfId="0" applyNumberFormat="1" applyFont="1" applyFill="1" applyBorder="1" applyAlignment="1">
      <alignment horizontal="center"/>
    </xf>
    <xf numFmtId="0" fontId="48" fillId="0" borderId="0" xfId="0" applyFont="1" applyFill="1" applyBorder="1" applyAlignment="1">
      <alignment horizontal="left"/>
    </xf>
    <xf numFmtId="0" fontId="125" fillId="0" borderId="72" xfId="0" applyFont="1" applyBorder="1" applyAlignment="1">
      <alignment horizontal="left"/>
    </xf>
    <xf numFmtId="0" fontId="118" fillId="0" borderId="0" xfId="0" applyFont="1" applyBorder="1" applyAlignment="1">
      <alignment horizontal="center"/>
    </xf>
    <xf numFmtId="0" fontId="118" fillId="0" borderId="49" xfId="0" applyFont="1" applyBorder="1" applyAlignment="1">
      <alignment horizontal="center"/>
    </xf>
    <xf numFmtId="0" fontId="118" fillId="0" borderId="73" xfId="0" applyFont="1" applyBorder="1" applyAlignment="1">
      <alignment horizontal="center"/>
    </xf>
    <xf numFmtId="0" fontId="34" fillId="0" borderId="20" xfId="0" applyFont="1" applyBorder="1"/>
    <xf numFmtId="0" fontId="34" fillId="0" borderId="20" xfId="0" applyFont="1" applyBorder="1" applyAlignment="1">
      <alignment horizontal="center"/>
    </xf>
    <xf numFmtId="0" fontId="0" fillId="0" borderId="33" xfId="0" applyBorder="1"/>
    <xf numFmtId="0" fontId="0" fillId="0" borderId="5" xfId="0" applyBorder="1" applyAlignment="1">
      <alignment horizontal="center"/>
    </xf>
    <xf numFmtId="0" fontId="0" fillId="0" borderId="33" xfId="0" applyBorder="1" applyAlignment="1">
      <alignment horizontal="center"/>
    </xf>
    <xf numFmtId="0" fontId="0" fillId="0" borderId="6" xfId="0" applyBorder="1" applyAlignment="1">
      <alignment horizontal="center"/>
    </xf>
    <xf numFmtId="0" fontId="0" fillId="0" borderId="1" xfId="0" applyBorder="1"/>
    <xf numFmtId="0" fontId="0" fillId="0" borderId="1" xfId="0" applyBorder="1" applyAlignment="1">
      <alignment horizontal="center"/>
    </xf>
    <xf numFmtId="0" fontId="0" fillId="0" borderId="12" xfId="0" applyBorder="1" applyAlignment="1">
      <alignment horizontal="center"/>
    </xf>
    <xf numFmtId="0" fontId="34" fillId="0" borderId="23" xfId="0" applyFont="1" applyBorder="1"/>
    <xf numFmtId="0" fontId="34" fillId="0" borderId="33" xfId="0" applyFont="1" applyBorder="1"/>
    <xf numFmtId="3" fontId="158" fillId="0" borderId="1" xfId="0" applyNumberFormat="1" applyFont="1" applyBorder="1" applyAlignment="1">
      <alignment horizontal="center"/>
    </xf>
    <xf numFmtId="180" fontId="6" fillId="2" borderId="13" xfId="7" applyNumberFormat="1" applyFont="1" applyFill="1" applyBorder="1" applyAlignment="1" applyProtection="1">
      <alignment horizontal="right" vertical="center"/>
      <protection locked="0"/>
    </xf>
    <xf numFmtId="180" fontId="6" fillId="2" borderId="87" xfId="7" applyNumberFormat="1" applyFont="1" applyFill="1" applyBorder="1" applyAlignment="1" applyProtection="1">
      <alignment horizontal="right" vertical="center"/>
      <protection locked="0"/>
    </xf>
    <xf numFmtId="0" fontId="8" fillId="0" borderId="0" xfId="8" applyFont="1" applyAlignment="1">
      <alignment vertical="center"/>
    </xf>
    <xf numFmtId="0" fontId="34" fillId="0" borderId="2" xfId="0" applyFont="1" applyBorder="1" applyAlignment="1">
      <alignment horizontal="center" vertical="center" textRotation="90"/>
    </xf>
    <xf numFmtId="178" fontId="12" fillId="11" borderId="28" xfId="0" applyNumberFormat="1" applyFont="1" applyFill="1" applyBorder="1" applyAlignment="1" applyProtection="1">
      <alignment vertical="center"/>
    </xf>
    <xf numFmtId="0" fontId="34" fillId="0" borderId="0" xfId="0" applyFont="1" applyBorder="1" applyAlignment="1">
      <alignment horizontal="center" textRotation="90"/>
    </xf>
    <xf numFmtId="0" fontId="48" fillId="11" borderId="10" xfId="8" applyFont="1" applyFill="1" applyBorder="1" applyAlignment="1" applyProtection="1">
      <alignment horizontal="center" vertical="center"/>
    </xf>
    <xf numFmtId="0" fontId="5" fillId="11" borderId="4" xfId="8" applyFont="1" applyFill="1" applyBorder="1" applyAlignment="1" applyProtection="1">
      <alignment vertical="center"/>
    </xf>
    <xf numFmtId="0" fontId="12" fillId="11" borderId="4" xfId="8" applyFont="1" applyFill="1" applyBorder="1" applyAlignment="1" applyProtection="1">
      <alignment horizontal="right" vertical="center"/>
    </xf>
    <xf numFmtId="170" fontId="6" fillId="11" borderId="117" xfId="0" applyNumberFormat="1" applyFont="1" applyFill="1" applyBorder="1" applyAlignment="1">
      <alignment horizontal="right" vertical="center"/>
    </xf>
    <xf numFmtId="186" fontId="6" fillId="11" borderId="87" xfId="0" applyNumberFormat="1" applyFont="1" applyFill="1" applyBorder="1" applyAlignment="1">
      <alignment horizontal="center" vertical="center"/>
    </xf>
    <xf numFmtId="170" fontId="6" fillId="11" borderId="13" xfId="0" applyNumberFormat="1" applyFont="1" applyFill="1" applyBorder="1" applyAlignment="1">
      <alignment horizontal="right" vertical="center"/>
    </xf>
    <xf numFmtId="186" fontId="6" fillId="11" borderId="13" xfId="0" applyNumberFormat="1" applyFont="1" applyFill="1" applyBorder="1" applyAlignment="1">
      <alignment horizontal="center" vertical="center"/>
    </xf>
    <xf numFmtId="0" fontId="48" fillId="11" borderId="3" xfId="8" applyFont="1" applyFill="1" applyBorder="1" applyAlignment="1" applyProtection="1">
      <alignment horizontal="center" vertical="top"/>
    </xf>
    <xf numFmtId="0" fontId="48" fillId="0" borderId="90" xfId="8" applyFont="1" applyBorder="1" applyAlignment="1">
      <alignment horizontal="center" vertical="center"/>
    </xf>
    <xf numFmtId="0" fontId="8" fillId="0" borderId="0" xfId="8" applyFont="1" applyAlignment="1">
      <alignment horizontal="left" vertical="center"/>
    </xf>
    <xf numFmtId="0" fontId="48" fillId="11" borderId="24" xfId="8" applyFont="1" applyFill="1" applyBorder="1" applyAlignment="1" applyProtection="1">
      <alignment horizontal="center" vertical="center"/>
    </xf>
    <xf numFmtId="0" fontId="5" fillId="11" borderId="11" xfId="8" applyFont="1" applyFill="1" applyBorder="1" applyAlignment="1" applyProtection="1">
      <alignment vertical="center"/>
    </xf>
    <xf numFmtId="0" fontId="66" fillId="11" borderId="11" xfId="8" applyFont="1" applyFill="1" applyBorder="1" applyAlignment="1" applyProtection="1">
      <alignment vertical="center"/>
    </xf>
    <xf numFmtId="0" fontId="12" fillId="11" borderId="11" xfId="8" applyFont="1" applyFill="1" applyBorder="1" applyAlignment="1" applyProtection="1">
      <alignment horizontal="right" vertical="center"/>
    </xf>
    <xf numFmtId="0" fontId="12" fillId="11" borderId="81" xfId="8" applyFont="1" applyFill="1" applyBorder="1" applyAlignment="1" applyProtection="1">
      <alignment vertical="center"/>
    </xf>
    <xf numFmtId="172" fontId="6" fillId="11" borderId="59" xfId="0" applyNumberFormat="1" applyFont="1" applyFill="1" applyBorder="1" applyAlignment="1">
      <alignment vertical="center"/>
    </xf>
    <xf numFmtId="172" fontId="6" fillId="11" borderId="1" xfId="0" applyNumberFormat="1" applyFont="1" applyFill="1" applyBorder="1" applyAlignment="1">
      <alignment vertical="center"/>
    </xf>
    <xf numFmtId="0" fontId="10" fillId="11" borderId="11" xfId="8" applyFont="1" applyFill="1" applyBorder="1" applyAlignment="1" applyProtection="1">
      <alignment vertical="center"/>
    </xf>
    <xf numFmtId="0" fontId="0" fillId="11" borderId="11" xfId="0" applyFill="1" applyBorder="1" applyAlignment="1">
      <alignment vertical="center"/>
    </xf>
    <xf numFmtId="0" fontId="48" fillId="11" borderId="11" xfId="8" applyFont="1" applyFill="1" applyBorder="1" applyAlignment="1" applyProtection="1">
      <alignment vertical="center"/>
    </xf>
    <xf numFmtId="0" fontId="12" fillId="11" borderId="81" xfId="0" applyFont="1" applyFill="1" applyBorder="1" applyAlignment="1">
      <alignment vertical="center"/>
    </xf>
    <xf numFmtId="170" fontId="6" fillId="11" borderId="59" xfId="0" applyNumberFormat="1" applyFont="1" applyFill="1" applyBorder="1" applyAlignment="1">
      <alignment horizontal="right" vertical="center"/>
    </xf>
    <xf numFmtId="186" fontId="6" fillId="11" borderId="34" xfId="0" applyNumberFormat="1" applyFont="1" applyFill="1" applyBorder="1" applyAlignment="1">
      <alignment horizontal="center" vertical="center"/>
    </xf>
    <xf numFmtId="0" fontId="6" fillId="0" borderId="10" xfId="0" applyFont="1" applyBorder="1" applyAlignment="1" applyProtection="1">
      <alignment vertical="center"/>
    </xf>
    <xf numFmtId="0" fontId="80" fillId="0" borderId="0" xfId="0" applyFont="1" applyFill="1" applyBorder="1" applyAlignment="1" applyProtection="1">
      <alignment vertical="center"/>
    </xf>
    <xf numFmtId="3" fontId="142" fillId="0" borderId="23" xfId="0" applyNumberFormat="1" applyFont="1" applyBorder="1"/>
    <xf numFmtId="3" fontId="17" fillId="11" borderId="24" xfId="0" applyNumberFormat="1" applyFont="1" applyFill="1" applyBorder="1" applyAlignment="1">
      <alignment horizontal="center"/>
    </xf>
    <xf numFmtId="180" fontId="15" fillId="11" borderId="2" xfId="0" applyNumberFormat="1" applyFont="1" applyFill="1" applyBorder="1"/>
    <xf numFmtId="178" fontId="15" fillId="11" borderId="2" xfId="0" applyNumberFormat="1" applyFont="1" applyFill="1" applyBorder="1"/>
    <xf numFmtId="180" fontId="17" fillId="11" borderId="2" xfId="0" applyNumberFormat="1" applyFont="1" applyFill="1" applyBorder="1"/>
    <xf numFmtId="181" fontId="17" fillId="11" borderId="3" xfId="0" applyNumberFormat="1" applyFont="1" applyFill="1" applyBorder="1"/>
    <xf numFmtId="3" fontId="15" fillId="11" borderId="2" xfId="0" applyNumberFormat="1" applyFont="1" applyFill="1" applyBorder="1"/>
    <xf numFmtId="180" fontId="17" fillId="11" borderId="3" xfId="0" applyNumberFormat="1" applyFont="1" applyFill="1" applyBorder="1"/>
    <xf numFmtId="171" fontId="17" fillId="11" borderId="2" xfId="0" applyNumberFormat="1" applyFont="1" applyFill="1" applyBorder="1"/>
    <xf numFmtId="178" fontId="17" fillId="11" borderId="3" xfId="0" applyNumberFormat="1" applyFont="1" applyFill="1" applyBorder="1"/>
    <xf numFmtId="179" fontId="15" fillId="11" borderId="2" xfId="0" applyNumberFormat="1" applyFont="1" applyFill="1" applyBorder="1"/>
    <xf numFmtId="180" fontId="15" fillId="0" borderId="23" xfId="0" applyNumberFormat="1" applyFont="1" applyBorder="1"/>
    <xf numFmtId="178" fontId="15" fillId="0" borderId="23" xfId="0" applyNumberFormat="1" applyFont="1" applyBorder="1"/>
    <xf numFmtId="180" fontId="17" fillId="0" borderId="23" xfId="0" applyNumberFormat="1" applyFont="1" applyBorder="1"/>
    <xf numFmtId="181" fontId="17" fillId="0" borderId="33" xfId="0" applyNumberFormat="1" applyFont="1" applyBorder="1"/>
    <xf numFmtId="180" fontId="17" fillId="0" borderId="33" xfId="0" applyNumberFormat="1" applyFont="1" applyBorder="1"/>
    <xf numFmtId="171" fontId="17" fillId="0" borderId="23" xfId="0" applyNumberFormat="1" applyFont="1" applyBorder="1"/>
    <xf numFmtId="178" fontId="17" fillId="0" borderId="33" xfId="0" applyNumberFormat="1" applyFont="1" applyBorder="1"/>
    <xf numFmtId="179" fontId="15" fillId="0" borderId="23" xfId="0" applyNumberFormat="1" applyFont="1" applyBorder="1"/>
    <xf numFmtId="171" fontId="15" fillId="0" borderId="33" xfId="0" applyNumberFormat="1" applyFont="1" applyBorder="1"/>
    <xf numFmtId="0" fontId="17" fillId="0" borderId="1" xfId="0" applyFont="1" applyBorder="1" applyAlignment="1">
      <alignment horizontal="center"/>
    </xf>
    <xf numFmtId="178" fontId="17" fillId="0" borderId="23" xfId="0" applyNumberFormat="1" applyFont="1" applyBorder="1"/>
    <xf numFmtId="178" fontId="15" fillId="0" borderId="33" xfId="0" applyNumberFormat="1" applyFont="1" applyBorder="1"/>
    <xf numFmtId="3" fontId="15" fillId="0" borderId="2" xfId="0" applyNumberFormat="1" applyFont="1" applyBorder="1"/>
    <xf numFmtId="180" fontId="15" fillId="11" borderId="0" xfId="0" applyNumberFormat="1" applyFont="1" applyFill="1" applyBorder="1"/>
    <xf numFmtId="178" fontId="15" fillId="11" borderId="0" xfId="0" applyNumberFormat="1" applyFont="1" applyFill="1" applyBorder="1"/>
    <xf numFmtId="3" fontId="15" fillId="11" borderId="0" xfId="0" applyNumberFormat="1" applyFont="1" applyFill="1" applyBorder="1"/>
    <xf numFmtId="180" fontId="17" fillId="11" borderId="5" xfId="0" applyNumberFormat="1" applyFont="1" applyFill="1" applyBorder="1"/>
    <xf numFmtId="171" fontId="17" fillId="11" borderId="0" xfId="0" applyNumberFormat="1" applyFont="1" applyFill="1" applyBorder="1"/>
    <xf numFmtId="178" fontId="17" fillId="11" borderId="5" xfId="0" applyNumberFormat="1" applyFont="1" applyFill="1" applyBorder="1"/>
    <xf numFmtId="179" fontId="15" fillId="11" borderId="0" xfId="0" applyNumberFormat="1" applyFont="1" applyFill="1" applyBorder="1"/>
    <xf numFmtId="178" fontId="15" fillId="11" borderId="5" xfId="0" applyNumberFormat="1" applyFont="1" applyFill="1" applyBorder="1"/>
    <xf numFmtId="0" fontId="17" fillId="0" borderId="23" xfId="0" applyFont="1" applyBorder="1" applyAlignment="1">
      <alignment horizontal="center"/>
    </xf>
    <xf numFmtId="178" fontId="15" fillId="0" borderId="155" xfId="0" applyNumberFormat="1" applyFont="1" applyBorder="1"/>
    <xf numFmtId="178" fontId="15" fillId="0" borderId="156" xfId="0" applyNumberFormat="1" applyFont="1" applyBorder="1"/>
    <xf numFmtId="0" fontId="20" fillId="0" borderId="157" xfId="0" applyFont="1" applyBorder="1" applyAlignment="1">
      <alignment horizontal="centerContinuous" vertical="center"/>
    </xf>
    <xf numFmtId="0" fontId="20" fillId="0" borderId="158" xfId="0" applyFont="1" applyBorder="1" applyAlignment="1">
      <alignment horizontal="centerContinuous" vertical="center"/>
    </xf>
    <xf numFmtId="0" fontId="20" fillId="0" borderId="159" xfId="0" applyFont="1" applyBorder="1" applyAlignment="1">
      <alignment horizontal="centerContinuous" vertical="center"/>
    </xf>
    <xf numFmtId="3" fontId="159" fillId="0" borderId="11" xfId="0" applyNumberFormat="1" applyFont="1" applyBorder="1" applyAlignment="1">
      <alignment horizontal="center"/>
    </xf>
    <xf numFmtId="0" fontId="159" fillId="0" borderId="11" xfId="0" applyFont="1" applyBorder="1" applyAlignment="1">
      <alignment horizontal="center"/>
    </xf>
    <xf numFmtId="3" fontId="15" fillId="11" borderId="0" xfId="0" applyNumberFormat="1" applyFont="1" applyFill="1"/>
    <xf numFmtId="178" fontId="15" fillId="11" borderId="160" xfId="0" applyNumberFormat="1" applyFont="1" applyFill="1" applyBorder="1"/>
    <xf numFmtId="8" fontId="2" fillId="0" borderId="0" xfId="11"/>
    <xf numFmtId="195" fontId="34" fillId="0" borderId="0" xfId="11" applyNumberFormat="1" applyFont="1"/>
    <xf numFmtId="0" fontId="22" fillId="0" borderId="0" xfId="0" applyFont="1"/>
    <xf numFmtId="0" fontId="8" fillId="0" borderId="0" xfId="0" applyFont="1" applyAlignment="1">
      <alignment horizontal="right"/>
    </xf>
    <xf numFmtId="8" fontId="8" fillId="0" borderId="0" xfId="11" applyFont="1"/>
    <xf numFmtId="196" fontId="6" fillId="0" borderId="1" xfId="0" applyNumberFormat="1" applyFont="1" applyBorder="1"/>
    <xf numFmtId="0" fontId="8" fillId="0" borderId="12" xfId="0" applyFont="1" applyBorder="1" applyAlignment="1">
      <alignment horizontal="right"/>
    </xf>
    <xf numFmtId="192" fontId="8" fillId="0" borderId="23" xfId="1" applyFont="1" applyBorder="1"/>
    <xf numFmtId="192" fontId="77" fillId="0" borderId="1" xfId="1" applyFont="1" applyBorder="1"/>
    <xf numFmtId="195" fontId="8" fillId="0" borderId="23" xfId="11" applyNumberFormat="1" applyFont="1" applyBorder="1"/>
    <xf numFmtId="195" fontId="6" fillId="0" borderId="1" xfId="11" applyNumberFormat="1" applyFont="1" applyBorder="1"/>
    <xf numFmtId="0" fontId="124" fillId="0" borderId="0" xfId="0" applyFont="1"/>
    <xf numFmtId="0" fontId="0" fillId="0" borderId="24" xfId="0" applyBorder="1" applyAlignment="1">
      <alignment horizontal="center" vertical="center"/>
    </xf>
    <xf numFmtId="0" fontId="62" fillId="0" borderId="0" xfId="0" applyFont="1" applyFill="1" applyBorder="1" applyAlignment="1">
      <alignment horizontal="center"/>
    </xf>
    <xf numFmtId="0" fontId="34" fillId="0" borderId="0" xfId="9" applyFont="1" applyFill="1" applyBorder="1">
      <alignment vertical="center"/>
    </xf>
    <xf numFmtId="178" fontId="8" fillId="4" borderId="4" xfId="0" applyNumberFormat="1" applyFont="1" applyFill="1" applyBorder="1" applyAlignment="1" applyProtection="1">
      <alignment vertical="center"/>
    </xf>
    <xf numFmtId="0" fontId="17" fillId="0" borderId="0" xfId="0" applyFont="1" applyAlignment="1" applyProtection="1">
      <alignment vertical="center"/>
    </xf>
    <xf numFmtId="9" fontId="113" fillId="0" borderId="0" xfId="7" applyFont="1" applyAlignment="1" applyProtection="1">
      <alignment vertical="center"/>
    </xf>
    <xf numFmtId="0" fontId="17" fillId="0" borderId="20" xfId="0" applyFont="1" applyBorder="1" applyAlignment="1" applyProtection="1">
      <alignment vertical="center"/>
    </xf>
    <xf numFmtId="0" fontId="17" fillId="0" borderId="13" xfId="0" applyFont="1" applyBorder="1" applyAlignment="1" applyProtection="1">
      <alignment vertical="center"/>
    </xf>
    <xf numFmtId="0" fontId="17" fillId="0" borderId="33" xfId="0" applyFont="1" applyBorder="1" applyAlignment="1" applyProtection="1">
      <alignment vertical="center"/>
    </xf>
    <xf numFmtId="0" fontId="17" fillId="0" borderId="6" xfId="0" applyFont="1" applyBorder="1" applyAlignment="1" applyProtection="1">
      <alignment vertical="center"/>
    </xf>
    <xf numFmtId="0" fontId="17" fillId="0" borderId="23" xfId="0" applyFont="1" applyBorder="1" applyAlignment="1" applyProtection="1">
      <alignment vertical="center"/>
    </xf>
    <xf numFmtId="0" fontId="17" fillId="0" borderId="12" xfId="0" applyFont="1" applyBorder="1" applyAlignment="1" applyProtection="1">
      <alignment vertical="center"/>
    </xf>
    <xf numFmtId="0" fontId="25" fillId="0" borderId="0" xfId="0" applyFont="1" applyProtection="1"/>
    <xf numFmtId="0" fontId="17" fillId="0" borderId="0" xfId="0" applyFont="1" applyAlignment="1" applyProtection="1">
      <alignment horizontal="center" vertical="center"/>
    </xf>
    <xf numFmtId="2" fontId="17" fillId="0" borderId="24" xfId="0" applyNumberFormat="1" applyFont="1" applyBorder="1" applyAlignment="1" applyProtection="1">
      <alignment horizontal="center" vertical="center"/>
    </xf>
    <xf numFmtId="2" fontId="17" fillId="0" borderId="11" xfId="0" applyNumberFormat="1" applyFont="1" applyBorder="1" applyAlignment="1" applyProtection="1">
      <alignment horizontal="center" vertical="center"/>
    </xf>
    <xf numFmtId="2" fontId="17" fillId="0" borderId="34" xfId="0" applyNumberFormat="1" applyFont="1" applyBorder="1" applyAlignment="1" applyProtection="1">
      <alignment horizontal="center" vertical="center"/>
    </xf>
    <xf numFmtId="0" fontId="160" fillId="0" borderId="0" xfId="4" applyFont="1" applyAlignment="1" applyProtection="1"/>
    <xf numFmtId="0" fontId="15" fillId="0" borderId="151" xfId="0" applyFont="1" applyBorder="1" applyAlignment="1" applyProtection="1">
      <alignment vertical="center"/>
    </xf>
    <xf numFmtId="0" fontId="8" fillId="0" borderId="17" xfId="0" applyFont="1" applyBorder="1" applyAlignment="1" applyProtection="1">
      <alignment vertical="center"/>
    </xf>
    <xf numFmtId="0" fontId="8" fillId="0" borderId="161" xfId="0" applyFont="1" applyBorder="1" applyAlignment="1" applyProtection="1">
      <alignment horizontal="center" vertical="center"/>
    </xf>
    <xf numFmtId="171" fontId="8" fillId="4" borderId="162" xfId="0" applyNumberFormat="1" applyFont="1" applyFill="1" applyBorder="1" applyAlignment="1" applyProtection="1">
      <alignment vertical="center"/>
    </xf>
    <xf numFmtId="179" fontId="8" fillId="4" borderId="151" xfId="0" applyNumberFormat="1" applyFont="1" applyFill="1" applyBorder="1" applyAlignment="1" applyProtection="1">
      <alignment horizontal="center" vertical="center"/>
    </xf>
    <xf numFmtId="171" fontId="8" fillId="0" borderId="163" xfId="0" applyNumberFormat="1" applyFont="1" applyBorder="1" applyAlignment="1" applyProtection="1">
      <alignment horizontal="right" vertical="center"/>
    </xf>
    <xf numFmtId="0" fontId="8" fillId="0" borderId="17" xfId="0" applyFont="1" applyBorder="1" applyAlignment="1" applyProtection="1">
      <alignment horizontal="center" vertical="center"/>
    </xf>
    <xf numFmtId="9" fontId="25" fillId="10" borderId="0" xfId="0" applyNumberFormat="1" applyFont="1" applyFill="1" applyBorder="1" applyAlignment="1" applyProtection="1">
      <alignment horizontal="right" vertical="center"/>
    </xf>
    <xf numFmtId="181" fontId="0" fillId="0" borderId="13" xfId="0" applyNumberFormat="1" applyBorder="1"/>
    <xf numFmtId="181" fontId="0" fillId="0" borderId="12" xfId="0" applyNumberFormat="1" applyBorder="1"/>
    <xf numFmtId="181" fontId="0" fillId="0" borderId="6" xfId="0" applyNumberFormat="1" applyBorder="1"/>
    <xf numFmtId="0" fontId="25" fillId="0" borderId="12" xfId="0" applyFont="1" applyBorder="1"/>
    <xf numFmtId="181" fontId="0" fillId="0" borderId="10" xfId="0" applyNumberFormat="1" applyBorder="1"/>
    <xf numFmtId="181" fontId="0" fillId="0" borderId="2" xfId="0" applyNumberFormat="1" applyBorder="1"/>
    <xf numFmtId="170" fontId="25" fillId="0" borderId="3" xfId="0" applyNumberFormat="1" applyFont="1" applyBorder="1" applyAlignment="1" applyProtection="1">
      <alignment vertical="center"/>
    </xf>
    <xf numFmtId="170" fontId="0" fillId="0" borderId="3" xfId="0" applyNumberFormat="1" applyBorder="1"/>
    <xf numFmtId="0" fontId="25" fillId="0" borderId="4" xfId="0" applyFont="1" applyBorder="1" applyAlignment="1" applyProtection="1">
      <alignment horizontal="right" vertical="center"/>
    </xf>
    <xf numFmtId="0" fontId="25" fillId="0" borderId="11" xfId="0" applyFont="1" applyBorder="1" applyAlignment="1" applyProtection="1">
      <alignment horizontal="right" vertical="center"/>
    </xf>
    <xf numFmtId="1" fontId="25" fillId="0" borderId="11" xfId="0" applyNumberFormat="1" applyFont="1" applyBorder="1" applyAlignment="1" applyProtection="1">
      <alignment vertical="center"/>
    </xf>
    <xf numFmtId="0" fontId="25" fillId="0" borderId="34" xfId="0" applyFont="1" applyBorder="1" applyAlignment="1" applyProtection="1">
      <alignment horizontal="right" vertical="center"/>
    </xf>
    <xf numFmtId="1" fontId="25" fillId="0" borderId="24" xfId="0" applyNumberFormat="1" applyFont="1" applyBorder="1" applyAlignment="1" applyProtection="1">
      <alignment vertical="center"/>
    </xf>
    <xf numFmtId="1" fontId="0" fillId="0" borderId="24" xfId="0" applyNumberFormat="1" applyBorder="1"/>
    <xf numFmtId="0" fontId="25" fillId="0" borderId="13" xfId="0" applyFont="1" applyBorder="1" applyAlignment="1" applyProtection="1">
      <alignment horizontal="left" vertical="center"/>
    </xf>
    <xf numFmtId="170" fontId="25" fillId="0" borderId="10" xfId="0" applyNumberFormat="1" applyFont="1" applyBorder="1" applyAlignment="1" applyProtection="1">
      <alignment vertical="center"/>
    </xf>
    <xf numFmtId="170" fontId="25" fillId="0" borderId="4" xfId="0" applyNumberFormat="1" applyFont="1" applyBorder="1" applyAlignment="1" applyProtection="1">
      <alignment vertical="center"/>
    </xf>
    <xf numFmtId="170" fontId="0" fillId="0" borderId="10" xfId="0" applyNumberFormat="1" applyBorder="1"/>
    <xf numFmtId="170" fontId="0" fillId="0" borderId="4" xfId="0" applyNumberFormat="1" applyBorder="1"/>
    <xf numFmtId="0" fontId="25" fillId="0" borderId="44" xfId="0" applyFont="1" applyBorder="1" applyAlignment="1" applyProtection="1">
      <alignment vertical="center"/>
    </xf>
    <xf numFmtId="181" fontId="0" fillId="0" borderId="79" xfId="0" applyNumberFormat="1" applyBorder="1"/>
    <xf numFmtId="0" fontId="25" fillId="0" borderId="78" xfId="0" applyFont="1" applyBorder="1" applyAlignment="1" applyProtection="1">
      <alignment vertical="center"/>
    </xf>
    <xf numFmtId="0" fontId="0" fillId="0" borderId="78" xfId="0" applyBorder="1"/>
    <xf numFmtId="193" fontId="25" fillId="0" borderId="78" xfId="0" applyNumberFormat="1" applyFont="1" applyBorder="1" applyAlignment="1" applyProtection="1">
      <alignment vertical="center"/>
    </xf>
    <xf numFmtId="193" fontId="25" fillId="0" borderId="44" xfId="0" applyNumberFormat="1" applyFont="1" applyBorder="1" applyAlignment="1" applyProtection="1">
      <alignment vertical="center"/>
    </xf>
    <xf numFmtId="193" fontId="0" fillId="0" borderId="78" xfId="0" applyNumberFormat="1" applyBorder="1"/>
    <xf numFmtId="193" fontId="0" fillId="0" borderId="44" xfId="0" applyNumberFormat="1" applyBorder="1"/>
    <xf numFmtId="175" fontId="117" fillId="0" borderId="0" xfId="8" applyNumberFormat="1" applyFont="1" applyBorder="1" applyAlignment="1" applyProtection="1">
      <alignment vertical="center"/>
    </xf>
    <xf numFmtId="166" fontId="25" fillId="0" borderId="1" xfId="0" applyNumberFormat="1" applyFont="1" applyFill="1" applyBorder="1" applyAlignment="1" applyProtection="1">
      <alignment horizontal="right" vertical="center"/>
    </xf>
    <xf numFmtId="166" fontId="0" fillId="0" borderId="1" xfId="0" applyNumberFormat="1" applyFill="1" applyBorder="1" applyAlignment="1">
      <alignment horizontal="right"/>
    </xf>
    <xf numFmtId="1" fontId="15" fillId="0" borderId="72" xfId="0" applyNumberFormat="1" applyFont="1" applyFill="1" applyBorder="1" applyAlignment="1" applyProtection="1">
      <alignment horizontal="right"/>
    </xf>
    <xf numFmtId="1" fontId="15" fillId="0" borderId="2" xfId="0" applyNumberFormat="1" applyFont="1" applyFill="1" applyBorder="1" applyAlignment="1" applyProtection="1">
      <alignment horizontal="right"/>
    </xf>
    <xf numFmtId="3" fontId="27" fillId="0" borderId="0" xfId="0" applyNumberFormat="1" applyFont="1" applyAlignment="1">
      <alignment horizontal="left"/>
    </xf>
    <xf numFmtId="3" fontId="17" fillId="3" borderId="0" xfId="0" applyNumberFormat="1" applyFont="1" applyFill="1"/>
    <xf numFmtId="3" fontId="15" fillId="3" borderId="0" xfId="0" applyNumberFormat="1" applyFont="1" applyFill="1"/>
    <xf numFmtId="3" fontId="17" fillId="3" borderId="0" xfId="0" applyNumberFormat="1" applyFont="1" applyFill="1" applyBorder="1" applyAlignment="1">
      <alignment horizontal="center"/>
    </xf>
    <xf numFmtId="0" fontId="20" fillId="3" borderId="0" xfId="0" applyFont="1" applyFill="1" applyBorder="1" applyAlignment="1">
      <alignment horizontal="centerContinuous" vertical="center"/>
    </xf>
    <xf numFmtId="0" fontId="17" fillId="3" borderId="0" xfId="0" applyFont="1" applyFill="1" applyBorder="1" applyAlignment="1">
      <alignment horizontal="center"/>
    </xf>
    <xf numFmtId="180" fontId="15" fillId="3" borderId="0" xfId="0" applyNumberFormat="1" applyFont="1" applyFill="1" applyBorder="1"/>
    <xf numFmtId="178" fontId="15" fillId="3" borderId="0" xfId="0" applyNumberFormat="1" applyFont="1" applyFill="1" applyBorder="1"/>
    <xf numFmtId="3" fontId="15" fillId="3" borderId="0" xfId="0" applyNumberFormat="1" applyFont="1" applyFill="1" applyBorder="1"/>
    <xf numFmtId="180" fontId="17" fillId="3" borderId="0" xfId="0" applyNumberFormat="1" applyFont="1" applyFill="1" applyBorder="1"/>
    <xf numFmtId="181" fontId="17" fillId="3" borderId="0" xfId="0" applyNumberFormat="1" applyFont="1" applyFill="1" applyBorder="1"/>
    <xf numFmtId="171" fontId="17" fillId="3" borderId="0" xfId="0" applyNumberFormat="1" applyFont="1" applyFill="1" applyBorder="1"/>
    <xf numFmtId="178" fontId="17" fillId="3" borderId="0" xfId="0" applyNumberFormat="1" applyFont="1" applyFill="1" applyBorder="1"/>
    <xf numFmtId="179" fontId="15" fillId="3" borderId="0" xfId="0" applyNumberFormat="1" applyFont="1" applyFill="1" applyBorder="1"/>
    <xf numFmtId="0" fontId="15" fillId="3" borderId="0" xfId="0" applyFont="1" applyFill="1"/>
    <xf numFmtId="0" fontId="0" fillId="10" borderId="0" xfId="0" applyFill="1"/>
    <xf numFmtId="3" fontId="15" fillId="10" borderId="0" xfId="0" applyNumberFormat="1" applyFont="1" applyFill="1"/>
    <xf numFmtId="3" fontId="17" fillId="10" borderId="0" xfId="0" applyNumberFormat="1" applyFont="1" applyFill="1" applyBorder="1" applyAlignment="1">
      <alignment horizontal="center"/>
    </xf>
    <xf numFmtId="0" fontId="15" fillId="10" borderId="0" xfId="0" applyFont="1" applyFill="1"/>
    <xf numFmtId="0" fontId="0" fillId="10" borderId="0" xfId="0" applyFill="1" applyAlignment="1">
      <alignment horizontal="center"/>
    </xf>
    <xf numFmtId="0" fontId="0" fillId="10" borderId="0" xfId="0" applyFill="1" applyBorder="1"/>
    <xf numFmtId="3" fontId="0" fillId="10" borderId="0" xfId="0" applyNumberFormat="1" applyFill="1" applyBorder="1"/>
    <xf numFmtId="178" fontId="0" fillId="10" borderId="47" xfId="0" applyNumberFormat="1" applyFill="1" applyBorder="1"/>
    <xf numFmtId="0" fontId="0" fillId="10" borderId="47" xfId="0" applyFill="1" applyBorder="1"/>
    <xf numFmtId="178" fontId="15" fillId="10" borderId="0" xfId="0" applyNumberFormat="1" applyFont="1" applyFill="1"/>
    <xf numFmtId="179" fontId="15" fillId="10" borderId="0" xfId="0" applyNumberFormat="1" applyFont="1" applyFill="1"/>
    <xf numFmtId="1" fontId="15" fillId="0" borderId="72" xfId="0" applyNumberFormat="1" applyFont="1" applyFill="1" applyBorder="1" applyAlignment="1" applyProtection="1">
      <alignment horizontal="right" vertical="center"/>
    </xf>
    <xf numFmtId="1" fontId="15" fillId="0" borderId="2" xfId="0" applyNumberFormat="1" applyFont="1" applyFill="1" applyBorder="1" applyAlignment="1" applyProtection="1">
      <alignment horizontal="right" vertical="center"/>
      <protection locked="0"/>
    </xf>
    <xf numFmtId="0" fontId="0" fillId="0" borderId="11" xfId="0" applyBorder="1" applyProtection="1"/>
    <xf numFmtId="0" fontId="25" fillId="0" borderId="18" xfId="8" applyFont="1" applyBorder="1" applyAlignment="1" applyProtection="1">
      <alignment horizontal="left" vertical="center"/>
    </xf>
    <xf numFmtId="0" fontId="15" fillId="0" borderId="89" xfId="8" applyFont="1" applyBorder="1" applyAlignment="1" applyProtection="1">
      <alignment horizontal="center" vertical="center"/>
    </xf>
    <xf numFmtId="170" fontId="15" fillId="2" borderId="88" xfId="0" applyNumberFormat="1" applyFont="1" applyFill="1" applyBorder="1" applyAlignment="1" applyProtection="1">
      <alignment horizontal="right" vertical="center"/>
      <protection locked="0"/>
    </xf>
    <xf numFmtId="0" fontId="25" fillId="0" borderId="77" xfId="0" applyFont="1" applyBorder="1" applyAlignment="1" applyProtection="1">
      <alignment horizontal="right" vertical="center"/>
    </xf>
    <xf numFmtId="180" fontId="15" fillId="2" borderId="19" xfId="0" applyNumberFormat="1" applyFont="1" applyFill="1" applyBorder="1" applyAlignment="1" applyProtection="1">
      <alignment horizontal="right" vertical="center"/>
      <protection locked="0"/>
    </xf>
    <xf numFmtId="0" fontId="25" fillId="11" borderId="77" xfId="0" applyFont="1" applyFill="1" applyBorder="1" applyAlignment="1" applyProtection="1">
      <alignment horizontal="right" vertical="center"/>
    </xf>
    <xf numFmtId="0" fontId="25" fillId="0" borderId="89" xfId="0" applyFont="1" applyBorder="1" applyAlignment="1" applyProtection="1">
      <alignment horizontal="right" vertical="center"/>
    </xf>
    <xf numFmtId="186" fontId="161" fillId="4" borderId="0" xfId="7" applyNumberFormat="1" applyFont="1" applyFill="1" applyBorder="1" applyAlignment="1" applyProtection="1">
      <alignment vertical="center"/>
    </xf>
    <xf numFmtId="186" fontId="161" fillId="11" borderId="0" xfId="7" applyNumberFormat="1" applyFont="1" applyFill="1" applyBorder="1" applyAlignment="1" applyProtection="1">
      <alignment vertical="center"/>
    </xf>
    <xf numFmtId="186" fontId="161" fillId="4" borderId="73" xfId="7" applyNumberFormat="1" applyFont="1" applyFill="1" applyBorder="1" applyAlignment="1" applyProtection="1">
      <alignment vertical="center"/>
    </xf>
    <xf numFmtId="170" fontId="161" fillId="4" borderId="101" xfId="7" applyNumberFormat="1" applyFont="1" applyFill="1" applyBorder="1" applyAlignment="1" applyProtection="1">
      <alignment vertical="center"/>
    </xf>
    <xf numFmtId="170" fontId="161" fillId="11" borderId="0" xfId="7" applyNumberFormat="1" applyFont="1" applyFill="1" applyBorder="1" applyAlignment="1" applyProtection="1">
      <alignment vertical="center"/>
    </xf>
    <xf numFmtId="170" fontId="161" fillId="4" borderId="0" xfId="7" applyNumberFormat="1" applyFont="1" applyFill="1" applyBorder="1" applyAlignment="1" applyProtection="1">
      <alignment vertical="center"/>
    </xf>
    <xf numFmtId="0" fontId="161" fillId="0" borderId="0" xfId="8" applyFont="1" applyBorder="1" applyAlignment="1" applyProtection="1">
      <alignment vertical="center"/>
    </xf>
    <xf numFmtId="0" fontId="162" fillId="0" borderId="0" xfId="0" applyFont="1" applyBorder="1" applyAlignment="1" applyProtection="1">
      <alignment vertical="center"/>
    </xf>
    <xf numFmtId="170" fontId="161" fillId="4" borderId="73" xfId="7" applyNumberFormat="1" applyFont="1" applyFill="1" applyBorder="1" applyAlignment="1" applyProtection="1">
      <alignment vertical="center"/>
    </xf>
    <xf numFmtId="0" fontId="21" fillId="0" borderId="11" xfId="0" applyFont="1" applyBorder="1" applyAlignment="1" applyProtection="1">
      <alignment vertical="center"/>
    </xf>
    <xf numFmtId="0" fontId="83" fillId="0" borderId="11" xfId="0" applyFont="1" applyBorder="1" applyAlignment="1" applyProtection="1">
      <alignment vertical="center"/>
    </xf>
    <xf numFmtId="0" fontId="21" fillId="0" borderId="81" xfId="0" applyFont="1" applyBorder="1" applyAlignment="1" applyProtection="1">
      <alignment horizontal="left" vertical="center"/>
    </xf>
    <xf numFmtId="0" fontId="21" fillId="0" borderId="4" xfId="0" applyFont="1" applyBorder="1" applyAlignment="1" applyProtection="1">
      <alignment horizontal="left" vertical="center"/>
    </xf>
    <xf numFmtId="0" fontId="21" fillId="0" borderId="87" xfId="0" applyFont="1" applyBorder="1" applyAlignment="1" applyProtection="1">
      <alignment horizontal="left" vertical="center"/>
    </xf>
    <xf numFmtId="0" fontId="21" fillId="0" borderId="73" xfId="0" applyFont="1" applyBorder="1" applyAlignment="1" applyProtection="1">
      <alignment horizontal="left" vertical="center"/>
    </xf>
    <xf numFmtId="0" fontId="21" fillId="0" borderId="0" xfId="0" applyFont="1" applyBorder="1" applyAlignment="1" applyProtection="1">
      <alignment vertical="center"/>
    </xf>
    <xf numFmtId="0" fontId="21" fillId="0" borderId="99" xfId="0" applyFont="1" applyBorder="1" applyAlignment="1" applyProtection="1">
      <alignment horizontal="left" vertical="center"/>
    </xf>
    <xf numFmtId="169" fontId="21" fillId="4" borderId="0" xfId="7" applyNumberFormat="1" applyFont="1" applyFill="1" applyBorder="1" applyAlignment="1" applyProtection="1">
      <alignment horizontal="right" vertical="center"/>
    </xf>
    <xf numFmtId="3" fontId="21" fillId="11" borderId="2" xfId="7" applyNumberFormat="1" applyFont="1" applyFill="1" applyBorder="1" applyAlignment="1" applyProtection="1">
      <alignment horizontal="center" vertical="center"/>
    </xf>
    <xf numFmtId="169" fontId="21" fillId="11" borderId="0" xfId="7" applyNumberFormat="1" applyFont="1" applyFill="1" applyBorder="1" applyAlignment="1" applyProtection="1">
      <alignment horizontal="right" vertical="center"/>
    </xf>
    <xf numFmtId="3" fontId="21" fillId="4" borderId="2" xfId="7" applyNumberFormat="1" applyFont="1" applyFill="1" applyBorder="1" applyAlignment="1" applyProtection="1">
      <alignment horizontal="center" vertical="center"/>
    </xf>
    <xf numFmtId="169" fontId="21" fillId="4" borderId="73" xfId="7" applyNumberFormat="1" applyFont="1" applyFill="1" applyBorder="1" applyAlignment="1" applyProtection="1">
      <alignment horizontal="right" vertical="center"/>
    </xf>
    <xf numFmtId="0" fontId="21" fillId="0" borderId="12" xfId="0" applyFont="1" applyBorder="1" applyAlignment="1" applyProtection="1">
      <alignment horizontal="right" vertical="center"/>
    </xf>
    <xf numFmtId="0" fontId="21" fillId="11" borderId="12" xfId="0" applyFont="1" applyFill="1" applyBorder="1" applyAlignment="1" applyProtection="1">
      <alignment horizontal="right" vertical="center"/>
    </xf>
    <xf numFmtId="0" fontId="21" fillId="0" borderId="73" xfId="0" applyFont="1" applyBorder="1" applyAlignment="1" applyProtection="1">
      <alignment horizontal="right" vertical="center"/>
    </xf>
    <xf numFmtId="0" fontId="21" fillId="0" borderId="164" xfId="0" applyFont="1" applyBorder="1"/>
    <xf numFmtId="0" fontId="21" fillId="0" borderId="55" xfId="8" applyFont="1" applyBorder="1" applyAlignment="1" applyProtection="1">
      <alignment horizontal="center" vertical="center"/>
    </xf>
    <xf numFmtId="0" fontId="20" fillId="0" borderId="162" xfId="0" applyFont="1" applyBorder="1" applyAlignment="1" applyProtection="1">
      <alignment vertical="center"/>
    </xf>
    <xf numFmtId="0" fontId="20" fillId="0" borderId="17" xfId="0" applyFont="1" applyBorder="1" applyAlignment="1" applyProtection="1">
      <alignment vertical="center"/>
    </xf>
    <xf numFmtId="0" fontId="21" fillId="0" borderId="101" xfId="0" applyFont="1" applyBorder="1" applyAlignment="1" applyProtection="1">
      <alignment horizontal="left" vertical="center"/>
    </xf>
    <xf numFmtId="182" fontId="21" fillId="4" borderId="106" xfId="0" applyNumberFormat="1" applyFont="1" applyFill="1" applyBorder="1" applyAlignment="1" applyProtection="1">
      <alignment horizontal="right" vertical="center"/>
    </xf>
    <xf numFmtId="180" fontId="21" fillId="0" borderId="65" xfId="0" applyNumberFormat="1" applyFont="1" applyBorder="1" applyAlignment="1" applyProtection="1">
      <alignment horizontal="right" vertical="center"/>
    </xf>
    <xf numFmtId="0" fontId="21" fillId="11" borderId="71" xfId="8" applyFont="1" applyFill="1" applyBorder="1" applyAlignment="1" applyProtection="1">
      <alignment horizontal="right" vertical="center"/>
    </xf>
    <xf numFmtId="180" fontId="21" fillId="11" borderId="65" xfId="0" applyNumberFormat="1" applyFont="1" applyFill="1" applyBorder="1" applyAlignment="1" applyProtection="1">
      <alignment horizontal="right" vertical="center"/>
    </xf>
    <xf numFmtId="181" fontId="21" fillId="4" borderId="36" xfId="0" applyNumberFormat="1" applyFont="1" applyFill="1" applyBorder="1" applyAlignment="1" applyProtection="1">
      <alignment horizontal="right" vertical="center"/>
    </xf>
    <xf numFmtId="180" fontId="21" fillId="0" borderId="107" xfId="0" applyNumberFormat="1" applyFont="1" applyBorder="1" applyAlignment="1" applyProtection="1">
      <alignment horizontal="right" vertical="center"/>
    </xf>
    <xf numFmtId="0" fontId="21" fillId="0" borderId="88" xfId="8" applyFont="1" applyBorder="1" applyAlignment="1" applyProtection="1">
      <alignment vertical="center"/>
    </xf>
    <xf numFmtId="0" fontId="21" fillId="4" borderId="18" xfId="0" applyFont="1" applyFill="1" applyBorder="1" applyAlignment="1" applyProtection="1">
      <alignment horizontal="center" vertical="center"/>
    </xf>
    <xf numFmtId="0" fontId="21" fillId="0" borderId="18" xfId="8" applyFont="1" applyBorder="1" applyAlignment="1" applyProtection="1">
      <alignment vertical="center"/>
    </xf>
    <xf numFmtId="0" fontId="21" fillId="0" borderId="18" xfId="0" applyFont="1" applyBorder="1" applyAlignment="1" applyProtection="1">
      <alignment vertical="center"/>
    </xf>
    <xf numFmtId="175" fontId="21" fillId="4" borderId="22" xfId="8" applyNumberFormat="1" applyFont="1" applyFill="1" applyBorder="1" applyAlignment="1" applyProtection="1">
      <alignment horizontal="center" vertical="center"/>
    </xf>
    <xf numFmtId="0" fontId="21" fillId="0" borderId="62" xfId="0" applyFont="1" applyBorder="1" applyAlignment="1" applyProtection="1">
      <alignment horizontal="left" vertical="center"/>
    </xf>
    <xf numFmtId="181" fontId="21" fillId="2" borderId="72" xfId="0" applyNumberFormat="1" applyFont="1" applyFill="1" applyBorder="1" applyAlignment="1" applyProtection="1">
      <alignment horizontal="right" vertical="center"/>
      <protection locked="0"/>
    </xf>
    <xf numFmtId="170" fontId="21" fillId="0" borderId="39" xfId="0" applyNumberFormat="1" applyFont="1" applyBorder="1" applyAlignment="1" applyProtection="1">
      <alignment horizontal="right" vertical="center"/>
    </xf>
    <xf numFmtId="181" fontId="21" fillId="2" borderId="2" xfId="0" applyNumberFormat="1" applyFont="1" applyFill="1" applyBorder="1" applyAlignment="1" applyProtection="1">
      <alignment horizontal="right" vertical="center"/>
      <protection locked="0"/>
    </xf>
    <xf numFmtId="170" fontId="21" fillId="11" borderId="39" xfId="0" applyNumberFormat="1" applyFont="1" applyFill="1" applyBorder="1" applyAlignment="1" applyProtection="1">
      <alignment horizontal="right" vertical="center"/>
    </xf>
    <xf numFmtId="170" fontId="21" fillId="0" borderId="154" xfId="0" applyNumberFormat="1" applyFont="1" applyBorder="1" applyAlignment="1" applyProtection="1">
      <alignment horizontal="right" vertical="center"/>
    </xf>
    <xf numFmtId="0" fontId="21" fillId="0" borderId="72" xfId="8" applyFont="1" applyBorder="1" applyAlignment="1" applyProtection="1">
      <alignment vertical="center"/>
    </xf>
    <xf numFmtId="0" fontId="21" fillId="4" borderId="0" xfId="0" applyFont="1" applyFill="1" applyBorder="1" applyAlignment="1" applyProtection="1">
      <alignment horizontal="center" vertical="center"/>
    </xf>
    <xf numFmtId="0" fontId="21" fillId="0" borderId="0" xfId="8" applyFont="1" applyBorder="1" applyAlignment="1" applyProtection="1">
      <alignment vertical="center"/>
    </xf>
    <xf numFmtId="0" fontId="21" fillId="0" borderId="0" xfId="0" applyFont="1" applyBorder="1"/>
    <xf numFmtId="0" fontId="21" fillId="0" borderId="84" xfId="8" applyFont="1" applyBorder="1" applyAlignment="1" applyProtection="1">
      <alignment vertical="center"/>
    </xf>
    <xf numFmtId="0" fontId="21" fillId="2" borderId="5" xfId="0" applyFont="1" applyFill="1" applyBorder="1" applyAlignment="1" applyProtection="1">
      <alignment horizontal="center" vertical="center"/>
      <protection locked="0"/>
    </xf>
    <xf numFmtId="0" fontId="21" fillId="0" borderId="5" xfId="8" applyFont="1" applyBorder="1" applyAlignment="1" applyProtection="1">
      <alignment vertical="center"/>
    </xf>
    <xf numFmtId="0" fontId="21" fillId="0" borderId="5" xfId="0" applyFont="1" applyBorder="1" applyAlignment="1" applyProtection="1">
      <alignment vertical="center"/>
    </xf>
    <xf numFmtId="0" fontId="21" fillId="0" borderId="5" xfId="0" applyFont="1" applyBorder="1"/>
    <xf numFmtId="175" fontId="21" fillId="4" borderId="43" xfId="8" applyNumberFormat="1" applyFont="1" applyFill="1" applyBorder="1" applyAlignment="1" applyProtection="1">
      <alignment horizontal="center" vertical="center"/>
    </xf>
    <xf numFmtId="0" fontId="21" fillId="0" borderId="85" xfId="0" applyFont="1" applyBorder="1" applyAlignment="1" applyProtection="1">
      <alignment horizontal="left" vertical="center"/>
    </xf>
    <xf numFmtId="170" fontId="21" fillId="0" borderId="40" xfId="0" applyNumberFormat="1" applyFont="1" applyBorder="1" applyAlignment="1" applyProtection="1">
      <alignment horizontal="right" vertical="center"/>
    </xf>
    <xf numFmtId="170" fontId="21" fillId="11" borderId="40" xfId="0" applyNumberFormat="1" applyFont="1" applyFill="1" applyBorder="1" applyAlignment="1" applyProtection="1">
      <alignment horizontal="right" vertical="center"/>
    </xf>
    <xf numFmtId="170" fontId="21" fillId="0" borderId="165" xfId="0" applyNumberFormat="1" applyFont="1" applyBorder="1" applyAlignment="1" applyProtection="1">
      <alignment horizontal="right" vertical="center"/>
    </xf>
    <xf numFmtId="0" fontId="21" fillId="4" borderId="0" xfId="8" applyFont="1" applyFill="1" applyBorder="1" applyAlignment="1" applyProtection="1">
      <alignment vertical="center"/>
    </xf>
    <xf numFmtId="2" fontId="21" fillId="0" borderId="0" xfId="8" applyNumberFormat="1" applyFont="1" applyBorder="1" applyAlignment="1" applyProtection="1">
      <alignment vertical="center"/>
    </xf>
    <xf numFmtId="1" fontId="21" fillId="2" borderId="72" xfId="0" applyNumberFormat="1" applyFont="1" applyFill="1" applyBorder="1" applyAlignment="1" applyProtection="1">
      <alignment horizontal="right"/>
      <protection locked="0"/>
    </xf>
    <xf numFmtId="170" fontId="21" fillId="4" borderId="0" xfId="0" applyNumberFormat="1" applyFont="1" applyFill="1" applyBorder="1" applyAlignment="1" applyProtection="1">
      <alignment horizontal="right" vertical="center"/>
    </xf>
    <xf numFmtId="1" fontId="21" fillId="2" borderId="2" xfId="0" applyNumberFormat="1" applyFont="1" applyFill="1" applyBorder="1" applyAlignment="1" applyProtection="1">
      <alignment horizontal="right"/>
      <protection locked="0"/>
    </xf>
    <xf numFmtId="170" fontId="21" fillId="11" borderId="0" xfId="0" applyNumberFormat="1" applyFont="1" applyFill="1" applyBorder="1" applyAlignment="1" applyProtection="1">
      <alignment horizontal="right" vertical="center"/>
    </xf>
    <xf numFmtId="170" fontId="21" fillId="4" borderId="73" xfId="0" applyNumberFormat="1" applyFont="1" applyFill="1" applyBorder="1" applyAlignment="1" applyProtection="1">
      <alignment horizontal="right" vertical="center"/>
    </xf>
    <xf numFmtId="175" fontId="21" fillId="0" borderId="0" xfId="8" applyNumberFormat="1" applyFont="1" applyBorder="1" applyAlignment="1" applyProtection="1">
      <alignment vertical="center"/>
    </xf>
    <xf numFmtId="1" fontId="21" fillId="2" borderId="72" xfId="0" applyNumberFormat="1" applyFont="1" applyFill="1" applyBorder="1" applyAlignment="1" applyProtection="1">
      <alignment horizontal="right" vertical="center"/>
      <protection locked="0"/>
    </xf>
    <xf numFmtId="1" fontId="21" fillId="2" borderId="2" xfId="0" applyNumberFormat="1" applyFont="1" applyFill="1" applyBorder="1" applyAlignment="1" applyProtection="1">
      <alignment horizontal="right" vertical="center"/>
      <protection locked="0"/>
    </xf>
    <xf numFmtId="0" fontId="21" fillId="4" borderId="0" xfId="0" applyFont="1" applyFill="1" applyBorder="1" applyAlignment="1" applyProtection="1">
      <alignment vertical="center"/>
    </xf>
    <xf numFmtId="170" fontId="163" fillId="4" borderId="0" xfId="0" applyNumberFormat="1" applyFont="1" applyFill="1" applyBorder="1" applyAlignment="1" applyProtection="1">
      <alignment horizontal="right" vertical="center"/>
    </xf>
    <xf numFmtId="170" fontId="163" fillId="11" borderId="0" xfId="0" applyNumberFormat="1" applyFont="1" applyFill="1" applyBorder="1" applyAlignment="1" applyProtection="1">
      <alignment horizontal="right" vertical="center"/>
    </xf>
    <xf numFmtId="0" fontId="21" fillId="4" borderId="5" xfId="8" applyFont="1" applyFill="1" applyBorder="1" applyAlignment="1" applyProtection="1">
      <alignment vertical="center"/>
    </xf>
    <xf numFmtId="2" fontId="21" fillId="2" borderId="5" xfId="8" applyNumberFormat="1" applyFont="1" applyFill="1" applyBorder="1" applyAlignment="1" applyProtection="1">
      <alignment vertical="center"/>
      <protection locked="0"/>
    </xf>
    <xf numFmtId="175" fontId="21" fillId="2" borderId="5" xfId="8" applyNumberFormat="1" applyFont="1" applyFill="1" applyBorder="1" applyAlignment="1" applyProtection="1">
      <alignment vertical="center"/>
    </xf>
    <xf numFmtId="0" fontId="21" fillId="4" borderId="85" xfId="0" applyFont="1" applyFill="1" applyBorder="1" applyAlignment="1" applyProtection="1">
      <alignment horizontal="left" vertical="center"/>
    </xf>
    <xf numFmtId="0" fontId="21" fillId="0" borderId="4" xfId="0" applyFont="1" applyBorder="1" applyAlignment="1" applyProtection="1">
      <alignment vertical="center"/>
    </xf>
    <xf numFmtId="0" fontId="21" fillId="0" borderId="0" xfId="0" applyFont="1" applyBorder="1" applyAlignment="1" applyProtection="1">
      <alignment horizontal="right" vertical="center"/>
    </xf>
    <xf numFmtId="0" fontId="21" fillId="0" borderId="86" xfId="0" applyFont="1" applyBorder="1" applyAlignment="1" applyProtection="1">
      <alignment vertical="center"/>
    </xf>
    <xf numFmtId="180" fontId="20" fillId="0" borderId="13" xfId="7" applyNumberFormat="1" applyFont="1" applyBorder="1" applyAlignment="1" applyProtection="1">
      <alignment horizontal="right" vertical="center"/>
    </xf>
    <xf numFmtId="0" fontId="21" fillId="11" borderId="10" xfId="0" applyFont="1" applyFill="1" applyBorder="1" applyAlignment="1" applyProtection="1">
      <alignment vertical="center"/>
    </xf>
    <xf numFmtId="180" fontId="20" fillId="11" borderId="13" xfId="7" applyNumberFormat="1" applyFont="1" applyFill="1" applyBorder="1" applyAlignment="1" applyProtection="1">
      <alignment horizontal="right" vertical="center"/>
    </xf>
    <xf numFmtId="0" fontId="21" fillId="0" borderId="10" xfId="0" applyFont="1" applyBorder="1" applyAlignment="1" applyProtection="1">
      <alignment vertical="center"/>
    </xf>
    <xf numFmtId="180" fontId="20" fillId="0" borderId="87" xfId="7" applyNumberFormat="1" applyFont="1" applyBorder="1" applyAlignment="1" applyProtection="1">
      <alignment horizontal="right" vertical="center"/>
    </xf>
    <xf numFmtId="0" fontId="20" fillId="0" borderId="0" xfId="0" applyFont="1" applyAlignment="1" applyProtection="1">
      <alignment vertical="center"/>
    </xf>
    <xf numFmtId="0" fontId="21" fillId="0" borderId="72" xfId="0" applyFont="1" applyBorder="1"/>
    <xf numFmtId="170" fontId="21" fillId="0" borderId="5" xfId="7" applyNumberFormat="1" applyFont="1" applyBorder="1" applyAlignment="1" applyProtection="1">
      <alignment vertical="center"/>
    </xf>
    <xf numFmtId="0" fontId="21" fillId="11" borderId="2" xfId="0" applyFont="1" applyFill="1" applyBorder="1"/>
    <xf numFmtId="0" fontId="21" fillId="0" borderId="2" xfId="0" applyFont="1" applyBorder="1"/>
    <xf numFmtId="170" fontId="21" fillId="0" borderId="85" xfId="7" applyNumberFormat="1" applyFont="1" applyBorder="1" applyAlignment="1" applyProtection="1">
      <alignment vertical="center"/>
    </xf>
    <xf numFmtId="0" fontId="20" fillId="0" borderId="86" xfId="8" applyFont="1" applyBorder="1" applyAlignment="1" applyProtection="1">
      <alignment vertical="center"/>
    </xf>
    <xf numFmtId="0" fontId="9" fillId="0" borderId="0" xfId="0" applyFont="1" applyBorder="1"/>
    <xf numFmtId="0" fontId="20" fillId="0" borderId="72" xfId="8" applyFont="1" applyBorder="1" applyAlignment="1" applyProtection="1">
      <alignment vertical="center"/>
    </xf>
    <xf numFmtId="0" fontId="21" fillId="0" borderId="86" xfId="8" applyFont="1" applyBorder="1" applyAlignment="1" applyProtection="1">
      <alignment vertical="center"/>
    </xf>
    <xf numFmtId="0" fontId="21" fillId="11" borderId="4" xfId="0" applyFont="1" applyFill="1" applyBorder="1" applyAlignment="1" applyProtection="1">
      <alignment vertical="center"/>
    </xf>
    <xf numFmtId="0" fontId="21" fillId="0" borderId="0" xfId="0" applyFont="1" applyBorder="1" applyAlignment="1" applyProtection="1">
      <alignment horizontal="center" vertical="center"/>
    </xf>
    <xf numFmtId="0" fontId="21" fillId="0" borderId="73" xfId="8" applyFont="1" applyBorder="1" applyAlignment="1" applyProtection="1">
      <alignment horizontal="right" vertical="center"/>
    </xf>
    <xf numFmtId="0" fontId="9" fillId="0" borderId="72" xfId="0" applyFont="1" applyBorder="1"/>
    <xf numFmtId="186" fontId="21" fillId="4" borderId="0" xfId="7" applyNumberFormat="1" applyFont="1" applyFill="1" applyBorder="1" applyAlignment="1" applyProtection="1">
      <alignment vertical="center"/>
    </xf>
    <xf numFmtId="0" fontId="9" fillId="11" borderId="2" xfId="0" applyFont="1" applyFill="1" applyBorder="1"/>
    <xf numFmtId="186" fontId="21" fillId="11" borderId="0" xfId="7" applyNumberFormat="1" applyFont="1" applyFill="1" applyBorder="1" applyAlignment="1" applyProtection="1">
      <alignment vertical="center"/>
    </xf>
    <xf numFmtId="0" fontId="9" fillId="0" borderId="2" xfId="0" applyFont="1" applyBorder="1"/>
    <xf numFmtId="186" fontId="21" fillId="4" borderId="73" xfId="7" applyNumberFormat="1" applyFont="1" applyFill="1" applyBorder="1" applyAlignment="1" applyProtection="1">
      <alignment vertical="center"/>
    </xf>
    <xf numFmtId="0" fontId="164" fillId="0" borderId="0" xfId="4" applyFont="1" applyBorder="1" applyAlignment="1" applyProtection="1">
      <alignment vertical="center"/>
    </xf>
    <xf numFmtId="0" fontId="21" fillId="0" borderId="0" xfId="8" applyFont="1" applyBorder="1" applyAlignment="1" applyProtection="1">
      <alignment horizontal="left" vertical="center"/>
    </xf>
    <xf numFmtId="180" fontId="21" fillId="2" borderId="72" xfId="0" applyNumberFormat="1" applyFont="1" applyFill="1" applyBorder="1" applyAlignment="1" applyProtection="1">
      <alignment horizontal="right" vertical="center"/>
      <protection locked="0"/>
    </xf>
    <xf numFmtId="180" fontId="21" fillId="2" borderId="2" xfId="0" applyNumberFormat="1" applyFont="1" applyFill="1" applyBorder="1" applyAlignment="1" applyProtection="1">
      <alignment horizontal="right" vertical="center"/>
      <protection locked="0"/>
    </xf>
    <xf numFmtId="180" fontId="21" fillId="0" borderId="72" xfId="0" applyNumberFormat="1" applyFont="1" applyFill="1" applyBorder="1" applyAlignment="1" applyProtection="1">
      <alignment horizontal="right" vertical="center"/>
    </xf>
    <xf numFmtId="180" fontId="21" fillId="0" borderId="2" xfId="0" applyNumberFormat="1" applyFont="1" applyFill="1" applyBorder="1" applyAlignment="1" applyProtection="1">
      <alignment horizontal="right" vertical="center"/>
    </xf>
    <xf numFmtId="0" fontId="21" fillId="0" borderId="18" xfId="8" applyFont="1" applyBorder="1" applyAlignment="1" applyProtection="1">
      <alignment horizontal="left" vertical="center"/>
    </xf>
    <xf numFmtId="0" fontId="9" fillId="0" borderId="18" xfId="0" applyFont="1" applyBorder="1"/>
    <xf numFmtId="0" fontId="21" fillId="0" borderId="89" xfId="8" applyFont="1" applyBorder="1" applyAlignment="1" applyProtection="1">
      <alignment horizontal="center" vertical="center"/>
    </xf>
    <xf numFmtId="180" fontId="21" fillId="2" borderId="88" xfId="0" applyNumberFormat="1" applyFont="1" applyFill="1" applyBorder="1" applyAlignment="1" applyProtection="1">
      <alignment horizontal="right" vertical="center"/>
      <protection locked="0"/>
    </xf>
    <xf numFmtId="0" fontId="21" fillId="0" borderId="77" xfId="0" applyFont="1" applyBorder="1" applyAlignment="1" applyProtection="1">
      <alignment horizontal="right" vertical="center"/>
    </xf>
    <xf numFmtId="180" fontId="21" fillId="2" borderId="19" xfId="0" applyNumberFormat="1" applyFont="1" applyFill="1" applyBorder="1" applyAlignment="1" applyProtection="1">
      <alignment horizontal="right" vertical="center"/>
      <protection locked="0"/>
    </xf>
    <xf numFmtId="0" fontId="21" fillId="11" borderId="77" xfId="0" applyFont="1" applyFill="1" applyBorder="1" applyAlignment="1" applyProtection="1">
      <alignment horizontal="right" vertical="center"/>
    </xf>
    <xf numFmtId="170" fontId="21" fillId="2" borderId="19" xfId="0" applyNumberFormat="1" applyFont="1" applyFill="1" applyBorder="1" applyAlignment="1" applyProtection="1">
      <alignment horizontal="right" vertical="center"/>
      <protection locked="0"/>
    </xf>
    <xf numFmtId="0" fontId="21" fillId="0" borderId="89" xfId="0" applyFont="1" applyBorder="1" applyAlignment="1" applyProtection="1">
      <alignment horizontal="right" vertical="center"/>
    </xf>
    <xf numFmtId="0" fontId="165" fillId="0" borderId="0" xfId="8" applyFont="1" applyBorder="1" applyAlignment="1" applyProtection="1">
      <alignment vertical="center"/>
    </xf>
    <xf numFmtId="180" fontId="21" fillId="4" borderId="72" xfId="0" applyNumberFormat="1" applyFont="1" applyFill="1" applyBorder="1" applyAlignment="1" applyProtection="1">
      <alignment horizontal="right" vertical="center"/>
    </xf>
    <xf numFmtId="170" fontId="21" fillId="4" borderId="0" xfId="7" applyNumberFormat="1" applyFont="1" applyFill="1" applyBorder="1" applyAlignment="1" applyProtection="1">
      <alignment vertical="center"/>
    </xf>
    <xf numFmtId="180" fontId="21" fillId="11" borderId="2" xfId="0" applyNumberFormat="1" applyFont="1" applyFill="1" applyBorder="1" applyAlignment="1" applyProtection="1">
      <alignment horizontal="right" vertical="center"/>
    </xf>
    <xf numFmtId="170" fontId="21" fillId="4" borderId="2" xfId="0" applyNumberFormat="1" applyFont="1" applyFill="1" applyBorder="1" applyAlignment="1" applyProtection="1">
      <alignment horizontal="right" vertical="center"/>
    </xf>
    <xf numFmtId="170" fontId="21" fillId="4" borderId="73" xfId="7" applyNumberFormat="1" applyFont="1" applyFill="1" applyBorder="1" applyAlignment="1" applyProtection="1">
      <alignment vertical="center"/>
    </xf>
    <xf numFmtId="170" fontId="21" fillId="2" borderId="88" xfId="0" applyNumberFormat="1" applyFont="1" applyFill="1" applyBorder="1" applyAlignment="1" applyProtection="1">
      <alignment horizontal="right" vertical="center"/>
      <protection locked="0"/>
    </xf>
    <xf numFmtId="0" fontId="20" fillId="0" borderId="84" xfId="8" applyFont="1" applyBorder="1" applyAlignment="1" applyProtection="1">
      <alignment vertical="center"/>
    </xf>
    <xf numFmtId="0" fontId="9" fillId="0" borderId="5" xfId="0" applyFont="1" applyBorder="1" applyAlignment="1" applyProtection="1">
      <alignment vertical="center"/>
    </xf>
    <xf numFmtId="0" fontId="21" fillId="0" borderId="5" xfId="8" applyFont="1" applyBorder="1" applyAlignment="1" applyProtection="1">
      <alignment horizontal="left" vertical="center"/>
    </xf>
    <xf numFmtId="0" fontId="21" fillId="0" borderId="85" xfId="8" applyFont="1" applyBorder="1" applyAlignment="1" applyProtection="1">
      <alignment horizontal="right" vertical="center"/>
    </xf>
    <xf numFmtId="180" fontId="166" fillId="4" borderId="84" xfId="0" applyNumberFormat="1" applyFont="1" applyFill="1" applyBorder="1" applyAlignment="1" applyProtection="1">
      <alignment horizontal="center" vertical="center"/>
    </xf>
    <xf numFmtId="180" fontId="166" fillId="11" borderId="3" xfId="0" applyNumberFormat="1" applyFont="1" applyFill="1" applyBorder="1" applyAlignment="1" applyProtection="1">
      <alignment horizontal="center" vertical="center"/>
    </xf>
    <xf numFmtId="170" fontId="166" fillId="4" borderId="3" xfId="0" applyNumberFormat="1" applyFont="1" applyFill="1" applyBorder="1" applyAlignment="1" applyProtection="1">
      <alignment horizontal="right" vertical="center"/>
    </xf>
    <xf numFmtId="0" fontId="21" fillId="0" borderId="87" xfId="8" applyFont="1" applyFill="1" applyBorder="1" applyAlignment="1" applyProtection="1">
      <alignment horizontal="left" vertical="center"/>
    </xf>
    <xf numFmtId="179" fontId="21" fillId="4" borderId="72" xfId="7" applyNumberFormat="1" applyFont="1" applyFill="1" applyBorder="1" applyAlignment="1" applyProtection="1">
      <alignment vertical="center"/>
    </xf>
    <xf numFmtId="180" fontId="20" fillId="0" borderId="12" xfId="0" applyNumberFormat="1" applyFont="1" applyBorder="1" applyAlignment="1" applyProtection="1">
      <alignment horizontal="right" vertical="center"/>
    </xf>
    <xf numFmtId="179" fontId="21" fillId="11" borderId="2" xfId="7" applyNumberFormat="1" applyFont="1" applyFill="1" applyBorder="1" applyAlignment="1" applyProtection="1">
      <alignment vertical="center"/>
    </xf>
    <xf numFmtId="180" fontId="20" fillId="11" borderId="12" xfId="0" applyNumberFormat="1" applyFont="1" applyFill="1" applyBorder="1" applyAlignment="1" applyProtection="1">
      <alignment horizontal="right" vertical="center"/>
    </xf>
    <xf numFmtId="179" fontId="21" fillId="4" borderId="2" xfId="7" applyNumberFormat="1" applyFont="1" applyFill="1" applyBorder="1" applyAlignment="1" applyProtection="1">
      <alignment vertical="center"/>
    </xf>
    <xf numFmtId="180" fontId="20" fillId="0" borderId="73" xfId="0" applyNumberFormat="1" applyFont="1" applyBorder="1" applyAlignment="1" applyProtection="1">
      <alignment horizontal="right" vertical="center"/>
    </xf>
    <xf numFmtId="0" fontId="21" fillId="0" borderId="73" xfId="8" applyFont="1" applyBorder="1" applyAlignment="1" applyProtection="1">
      <alignment horizontal="left" vertical="center"/>
    </xf>
    <xf numFmtId="181" fontId="21" fillId="0" borderId="72" xfId="7" applyNumberFormat="1" applyFont="1" applyFill="1" applyBorder="1" applyAlignment="1" applyProtection="1">
      <alignment vertical="center"/>
    </xf>
    <xf numFmtId="170" fontId="21" fillId="0" borderId="12" xfId="7" applyNumberFormat="1" applyFont="1" applyBorder="1" applyAlignment="1" applyProtection="1">
      <alignment horizontal="right" vertical="center"/>
    </xf>
    <xf numFmtId="181" fontId="21" fillId="11" borderId="2" xfId="7" applyNumberFormat="1" applyFont="1" applyFill="1" applyBorder="1" applyAlignment="1" applyProtection="1">
      <alignment vertical="center"/>
    </xf>
    <xf numFmtId="180" fontId="21" fillId="11" borderId="12" xfId="7" applyNumberFormat="1" applyFont="1" applyFill="1" applyBorder="1" applyAlignment="1" applyProtection="1">
      <alignment horizontal="right" vertical="center"/>
    </xf>
    <xf numFmtId="181" fontId="21" fillId="0" borderId="2" xfId="7" applyNumberFormat="1" applyFont="1" applyFill="1" applyBorder="1" applyAlignment="1" applyProtection="1">
      <alignment vertical="center"/>
    </xf>
    <xf numFmtId="170" fontId="21" fillId="0" borderId="73" xfId="0" applyNumberFormat="1" applyFont="1" applyBorder="1" applyAlignment="1" applyProtection="1">
      <alignment horizontal="right" vertical="center"/>
    </xf>
    <xf numFmtId="0" fontId="167" fillId="0" borderId="0" xfId="4" applyFont="1" applyBorder="1" applyAlignment="1" applyProtection="1">
      <alignment vertical="center"/>
    </xf>
    <xf numFmtId="0" fontId="9" fillId="0" borderId="4" xfId="0" applyFont="1" applyBorder="1" applyAlignment="1" applyProtection="1">
      <alignment vertical="center"/>
    </xf>
    <xf numFmtId="180" fontId="21" fillId="0" borderId="10" xfId="0" applyNumberFormat="1" applyFont="1" applyBorder="1" applyAlignment="1" applyProtection="1">
      <alignment vertical="center"/>
    </xf>
    <xf numFmtId="0" fontId="21" fillId="0" borderId="72" xfId="0" applyFont="1" applyBorder="1" applyAlignment="1" applyProtection="1">
      <alignment vertical="center"/>
    </xf>
    <xf numFmtId="0" fontId="21" fillId="0" borderId="73" xfId="8" applyFont="1" applyFill="1" applyBorder="1" applyAlignment="1" applyProtection="1">
      <alignment horizontal="left" vertical="center"/>
    </xf>
    <xf numFmtId="166" fontId="21" fillId="0" borderId="72" xfId="0" applyNumberFormat="1" applyFont="1" applyBorder="1" applyAlignment="1" applyProtection="1">
      <alignment vertical="center"/>
    </xf>
    <xf numFmtId="180" fontId="20" fillId="0" borderId="12" xfId="7" applyNumberFormat="1" applyFont="1" applyBorder="1" applyAlignment="1" applyProtection="1">
      <alignment horizontal="right" vertical="center"/>
    </xf>
    <xf numFmtId="166" fontId="21" fillId="11" borderId="2" xfId="0" applyNumberFormat="1" applyFont="1" applyFill="1" applyBorder="1" applyAlignment="1" applyProtection="1">
      <alignment vertical="center"/>
    </xf>
    <xf numFmtId="180" fontId="20" fillId="11" borderId="12" xfId="7" applyNumberFormat="1" applyFont="1" applyFill="1" applyBorder="1" applyAlignment="1" applyProtection="1">
      <alignment horizontal="right" vertical="center"/>
    </xf>
    <xf numFmtId="182" fontId="21" fillId="0" borderId="2" xfId="0" applyNumberFormat="1" applyFont="1" applyBorder="1" applyAlignment="1" applyProtection="1">
      <alignment vertical="center"/>
    </xf>
    <xf numFmtId="182" fontId="20" fillId="0" borderId="73" xfId="7" applyNumberFormat="1" applyFont="1" applyBorder="1" applyAlignment="1" applyProtection="1">
      <alignment horizontal="right" vertical="center"/>
    </xf>
    <xf numFmtId="0" fontId="21" fillId="0" borderId="88" xfId="0" applyFont="1" applyBorder="1" applyAlignment="1" applyProtection="1">
      <alignment vertical="center"/>
    </xf>
    <xf numFmtId="0" fontId="9" fillId="0" borderId="18" xfId="0" applyFont="1" applyBorder="1" applyAlignment="1" applyProtection="1">
      <alignment vertical="center"/>
    </xf>
    <xf numFmtId="0" fontId="21" fillId="0" borderId="18" xfId="0" applyFont="1" applyBorder="1" applyAlignment="1" applyProtection="1">
      <alignment horizontal="left" vertical="center"/>
    </xf>
    <xf numFmtId="0" fontId="21" fillId="0" borderId="89" xfId="8" applyFont="1" applyFill="1" applyBorder="1" applyAlignment="1" applyProtection="1">
      <alignment horizontal="left" vertical="center"/>
    </xf>
    <xf numFmtId="170" fontId="21" fillId="0" borderId="88" xfId="0" applyNumberFormat="1" applyFont="1" applyBorder="1" applyAlignment="1" applyProtection="1">
      <alignment vertical="center"/>
    </xf>
    <xf numFmtId="180" fontId="20" fillId="0" borderId="77" xfId="7" applyNumberFormat="1" applyFont="1" applyBorder="1" applyAlignment="1" applyProtection="1">
      <alignment horizontal="right" vertical="center"/>
    </xf>
    <xf numFmtId="180" fontId="20" fillId="11" borderId="19" xfId="0" applyNumberFormat="1" applyFont="1" applyFill="1" applyBorder="1" applyAlignment="1" applyProtection="1">
      <alignment vertical="center"/>
    </xf>
    <xf numFmtId="180" fontId="20" fillId="11" borderId="77" xfId="7" applyNumberFormat="1" applyFont="1" applyFill="1" applyBorder="1" applyAlignment="1" applyProtection="1">
      <alignment horizontal="right" vertical="center"/>
    </xf>
    <xf numFmtId="0" fontId="21" fillId="0" borderId="19" xfId="0" applyFont="1" applyBorder="1" applyAlignment="1" applyProtection="1">
      <alignment vertical="center"/>
    </xf>
    <xf numFmtId="180" fontId="20" fillId="0" borderId="89" xfId="7" applyNumberFormat="1" applyFont="1" applyBorder="1" applyAlignment="1" applyProtection="1">
      <alignment horizontal="right" vertical="center"/>
    </xf>
    <xf numFmtId="0" fontId="21" fillId="0" borderId="84" xfId="0" applyFont="1" applyBorder="1" applyAlignment="1" applyProtection="1">
      <alignment vertical="center"/>
    </xf>
    <xf numFmtId="0" fontId="21" fillId="0" borderId="85" xfId="8" applyFont="1" applyFill="1" applyBorder="1" applyAlignment="1" applyProtection="1">
      <alignment horizontal="left" vertical="center"/>
    </xf>
    <xf numFmtId="170" fontId="21" fillId="0" borderId="84" xfId="0" applyNumberFormat="1" applyFont="1" applyBorder="1" applyAlignment="1" applyProtection="1">
      <alignment vertical="center"/>
    </xf>
    <xf numFmtId="180" fontId="20" fillId="0" borderId="6" xfId="7" applyNumberFormat="1" applyFont="1" applyBorder="1" applyAlignment="1" applyProtection="1">
      <alignment horizontal="right" vertical="center"/>
    </xf>
    <xf numFmtId="180" fontId="20" fillId="11" borderId="3" xfId="0" applyNumberFormat="1" applyFont="1" applyFill="1" applyBorder="1" applyAlignment="1" applyProtection="1">
      <alignment vertical="center"/>
    </xf>
    <xf numFmtId="180" fontId="20" fillId="11" borderId="6" xfId="7" applyNumberFormat="1" applyFont="1" applyFill="1" applyBorder="1" applyAlignment="1" applyProtection="1">
      <alignment horizontal="right" vertical="center"/>
    </xf>
    <xf numFmtId="0" fontId="21" fillId="0" borderId="3" xfId="0" applyFont="1" applyBorder="1" applyAlignment="1" applyProtection="1">
      <alignment vertical="center"/>
    </xf>
    <xf numFmtId="180" fontId="20" fillId="0" borderId="85" xfId="7" applyNumberFormat="1" applyFont="1" applyBorder="1" applyAlignment="1" applyProtection="1">
      <alignment horizontal="right" vertical="center"/>
    </xf>
    <xf numFmtId="0" fontId="21" fillId="0" borderId="74" xfId="0" applyFont="1" applyBorder="1" applyAlignment="1" applyProtection="1">
      <alignment vertical="center"/>
    </xf>
    <xf numFmtId="0" fontId="20" fillId="0" borderId="75" xfId="0" applyFont="1" applyBorder="1" applyAlignment="1" applyProtection="1">
      <alignment vertical="center"/>
    </xf>
    <xf numFmtId="0" fontId="21" fillId="0" borderId="166" xfId="0" applyFont="1" applyBorder="1" applyAlignment="1" applyProtection="1">
      <alignment vertical="center"/>
    </xf>
    <xf numFmtId="0" fontId="21" fillId="0" borderId="75" xfId="0" applyFont="1" applyBorder="1" applyAlignment="1" applyProtection="1">
      <alignment vertical="center"/>
    </xf>
    <xf numFmtId="0" fontId="21" fillId="0" borderId="75" xfId="0" applyFont="1" applyBorder="1" applyAlignment="1" applyProtection="1">
      <alignment horizontal="left" vertical="center"/>
    </xf>
    <xf numFmtId="0" fontId="21" fillId="0" borderId="76" xfId="8" applyFont="1" applyFill="1" applyBorder="1" applyAlignment="1" applyProtection="1">
      <alignment horizontal="left" vertical="center"/>
    </xf>
    <xf numFmtId="2" fontId="21" fillId="0" borderId="74" xfId="0" applyNumberFormat="1" applyFont="1" applyBorder="1" applyAlignment="1" applyProtection="1">
      <alignment vertical="center"/>
    </xf>
    <xf numFmtId="180" fontId="20" fillId="0" borderId="82" xfId="7" applyNumberFormat="1" applyFont="1" applyBorder="1" applyAlignment="1" applyProtection="1">
      <alignment horizontal="right" vertical="center"/>
    </xf>
    <xf numFmtId="2" fontId="21" fillId="11" borderId="83" xfId="0" applyNumberFormat="1" applyFont="1" applyFill="1" applyBorder="1" applyAlignment="1" applyProtection="1">
      <alignment vertical="center"/>
    </xf>
    <xf numFmtId="180" fontId="20" fillId="11" borderId="82" xfId="7" applyNumberFormat="1" applyFont="1" applyFill="1" applyBorder="1" applyAlignment="1" applyProtection="1">
      <alignment horizontal="right" vertical="center"/>
    </xf>
    <xf numFmtId="2" fontId="21" fillId="0" borderId="83" xfId="0" applyNumberFormat="1" applyFont="1" applyBorder="1" applyAlignment="1" applyProtection="1">
      <alignment vertical="center"/>
    </xf>
    <xf numFmtId="180" fontId="20" fillId="0" borderId="76" xfId="7" applyNumberFormat="1" applyFont="1" applyBorder="1" applyAlignment="1" applyProtection="1">
      <alignment horizontal="right" vertical="center"/>
    </xf>
    <xf numFmtId="0" fontId="9" fillId="0" borderId="0" xfId="0" applyFont="1"/>
    <xf numFmtId="0" fontId="168" fillId="0" borderId="0" xfId="0" applyFont="1" applyAlignment="1" applyProtection="1">
      <alignment horizontal="left" vertical="center"/>
    </xf>
    <xf numFmtId="3" fontId="6" fillId="4" borderId="105" xfId="7" applyNumberFormat="1" applyFont="1" applyFill="1" applyBorder="1" applyAlignment="1" applyProtection="1">
      <alignment horizontal="right" vertical="center"/>
    </xf>
    <xf numFmtId="0" fontId="6" fillId="4" borderId="12" xfId="0" applyFont="1" applyFill="1" applyBorder="1" applyAlignment="1" applyProtection="1">
      <alignment horizontal="right" vertical="center"/>
    </xf>
    <xf numFmtId="3" fontId="6" fillId="11" borderId="42" xfId="7" applyNumberFormat="1" applyFont="1" applyFill="1" applyBorder="1" applyAlignment="1" applyProtection="1">
      <alignment horizontal="right" vertical="center"/>
    </xf>
    <xf numFmtId="0" fontId="6" fillId="11" borderId="12" xfId="0" applyFont="1" applyFill="1" applyBorder="1" applyAlignment="1" applyProtection="1">
      <alignment horizontal="right" vertical="center"/>
    </xf>
    <xf numFmtId="3" fontId="6" fillId="4" borderId="42" xfId="7" applyNumberFormat="1" applyFont="1" applyFill="1" applyBorder="1" applyAlignment="1" applyProtection="1">
      <alignment horizontal="right" vertical="center"/>
    </xf>
    <xf numFmtId="0" fontId="6" fillId="4" borderId="73" xfId="0" applyFont="1" applyFill="1" applyBorder="1" applyAlignment="1" applyProtection="1">
      <alignment horizontal="right" vertical="center"/>
    </xf>
    <xf numFmtId="3" fontId="8" fillId="4" borderId="105" xfId="7" applyNumberFormat="1" applyFont="1" applyFill="1" applyBorder="1" applyAlignment="1" applyProtection="1">
      <alignment horizontal="center" vertical="center"/>
    </xf>
    <xf numFmtId="0" fontId="6" fillId="4" borderId="12" xfId="0" applyFont="1" applyFill="1" applyBorder="1" applyAlignment="1" applyProtection="1">
      <alignment horizontal="center" vertical="center"/>
    </xf>
    <xf numFmtId="3" fontId="8" fillId="11" borderId="42" xfId="7" applyNumberFormat="1" applyFont="1" applyFill="1" applyBorder="1" applyAlignment="1" applyProtection="1">
      <alignment horizontal="center" vertical="center"/>
    </xf>
    <xf numFmtId="0" fontId="6" fillId="11" borderId="12" xfId="0" applyFont="1" applyFill="1" applyBorder="1" applyAlignment="1" applyProtection="1">
      <alignment horizontal="center" vertical="center"/>
    </xf>
    <xf numFmtId="3" fontId="8" fillId="4" borderId="42" xfId="7" applyNumberFormat="1" applyFont="1" applyFill="1" applyBorder="1" applyAlignment="1" applyProtection="1">
      <alignment horizontal="center" vertical="center"/>
    </xf>
    <xf numFmtId="0" fontId="6" fillId="4" borderId="73" xfId="0" applyFont="1" applyFill="1" applyBorder="1" applyAlignment="1" applyProtection="1">
      <alignment horizontal="center" vertical="center"/>
    </xf>
    <xf numFmtId="3" fontId="6" fillId="4" borderId="105" xfId="7" applyNumberFormat="1" applyFont="1" applyFill="1" applyBorder="1" applyAlignment="1" applyProtection="1">
      <alignment horizontal="center" vertical="center"/>
    </xf>
    <xf numFmtId="3" fontId="6" fillId="11" borderId="42" xfId="7" applyNumberFormat="1" applyFont="1" applyFill="1" applyBorder="1" applyAlignment="1" applyProtection="1">
      <alignment horizontal="center" vertical="center"/>
    </xf>
    <xf numFmtId="3" fontId="6" fillId="4" borderId="42" xfId="7" applyNumberFormat="1" applyFont="1" applyFill="1" applyBorder="1" applyAlignment="1" applyProtection="1">
      <alignment horizontal="center" vertical="center"/>
    </xf>
    <xf numFmtId="180" fontId="20" fillId="0" borderId="13" xfId="0" applyNumberFormat="1" applyFont="1" applyBorder="1" applyAlignment="1" applyProtection="1">
      <alignment horizontal="right" vertical="center"/>
    </xf>
    <xf numFmtId="166" fontId="20" fillId="11" borderId="10" xfId="0" applyNumberFormat="1" applyFont="1" applyFill="1" applyBorder="1" applyAlignment="1" applyProtection="1">
      <alignment horizontal="right" vertical="center"/>
    </xf>
    <xf numFmtId="180" fontId="20" fillId="11" borderId="13" xfId="0" applyNumberFormat="1" applyFont="1" applyFill="1" applyBorder="1" applyAlignment="1" applyProtection="1">
      <alignment horizontal="right" vertical="center"/>
    </xf>
    <xf numFmtId="1" fontId="20" fillId="4" borderId="10" xfId="0" applyNumberFormat="1" applyFont="1" applyFill="1" applyBorder="1" applyAlignment="1" applyProtection="1">
      <alignment horizontal="right" vertical="center"/>
    </xf>
    <xf numFmtId="180" fontId="20" fillId="0" borderId="87" xfId="0" applyNumberFormat="1" applyFont="1" applyBorder="1" applyAlignment="1" applyProtection="1">
      <alignment horizontal="right" vertical="center"/>
    </xf>
    <xf numFmtId="168" fontId="21" fillId="0" borderId="5" xfId="0" applyNumberFormat="1" applyFont="1" applyFill="1" applyBorder="1" applyAlignment="1" applyProtection="1">
      <alignment horizontal="right" vertical="center"/>
    </xf>
    <xf numFmtId="2" fontId="21" fillId="11" borderId="3" xfId="0" applyNumberFormat="1" applyFont="1" applyFill="1" applyBorder="1" applyAlignment="1">
      <alignment vertical="center"/>
    </xf>
    <xf numFmtId="168" fontId="21" fillId="11" borderId="5" xfId="0" applyNumberFormat="1" applyFont="1" applyFill="1" applyBorder="1" applyAlignment="1" applyProtection="1">
      <alignment horizontal="right" vertical="center"/>
    </xf>
    <xf numFmtId="2" fontId="21" fillId="0" borderId="3" xfId="0" applyNumberFormat="1" applyFont="1" applyBorder="1" applyAlignment="1">
      <alignment horizontal="right" vertical="center"/>
    </xf>
    <xf numFmtId="168" fontId="21" fillId="0" borderId="85" xfId="0" applyNumberFormat="1" applyFont="1" applyFill="1" applyBorder="1" applyAlignment="1" applyProtection="1">
      <alignment horizontal="right" vertical="center"/>
    </xf>
    <xf numFmtId="1" fontId="20" fillId="11" borderId="2" xfId="0" applyNumberFormat="1" applyFont="1" applyFill="1" applyBorder="1" applyAlignment="1" applyProtection="1">
      <alignment horizontal="right" vertical="center"/>
    </xf>
    <xf numFmtId="0" fontId="21" fillId="0" borderId="2" xfId="0" applyFont="1" applyBorder="1" applyAlignment="1" applyProtection="1">
      <alignment vertical="center"/>
    </xf>
    <xf numFmtId="172" fontId="20" fillId="0" borderId="86" xfId="0" applyNumberFormat="1" applyFont="1" applyBorder="1" applyAlignment="1" applyProtection="1">
      <alignment horizontal="center" vertical="center"/>
    </xf>
    <xf numFmtId="172" fontId="21" fillId="11" borderId="10" xfId="0" applyNumberFormat="1" applyFont="1" applyFill="1" applyBorder="1" applyAlignment="1" applyProtection="1">
      <alignment vertical="center"/>
    </xf>
    <xf numFmtId="172" fontId="21" fillId="0" borderId="10" xfId="0" applyNumberFormat="1" applyFont="1" applyBorder="1" applyAlignment="1" applyProtection="1">
      <alignment vertical="center"/>
    </xf>
    <xf numFmtId="172" fontId="20" fillId="0" borderId="98" xfId="0" applyNumberFormat="1" applyFont="1" applyBorder="1" applyAlignment="1" applyProtection="1">
      <alignment horizontal="right" vertical="center"/>
    </xf>
    <xf numFmtId="180" fontId="20" fillId="0" borderId="15" xfId="7" applyNumberFormat="1" applyFont="1" applyBorder="1" applyAlignment="1" applyProtection="1">
      <alignment horizontal="right" vertical="center"/>
    </xf>
    <xf numFmtId="172" fontId="20" fillId="11" borderId="16" xfId="0" applyNumberFormat="1" applyFont="1" applyFill="1" applyBorder="1" applyAlignment="1" applyProtection="1">
      <alignment horizontal="right" vertical="center"/>
    </xf>
    <xf numFmtId="180" fontId="20" fillId="11" borderId="15" xfId="7" applyNumberFormat="1" applyFont="1" applyFill="1" applyBorder="1" applyAlignment="1" applyProtection="1">
      <alignment horizontal="right" vertical="center"/>
    </xf>
    <xf numFmtId="172" fontId="20" fillId="0" borderId="16" xfId="0" applyNumberFormat="1" applyFont="1" applyBorder="1" applyAlignment="1" applyProtection="1">
      <alignment horizontal="right" vertical="center"/>
    </xf>
    <xf numFmtId="180" fontId="20" fillId="0" borderId="99" xfId="7" applyNumberFormat="1" applyFont="1" applyBorder="1" applyAlignment="1" applyProtection="1">
      <alignment horizontal="right" vertical="center"/>
    </xf>
    <xf numFmtId="1" fontId="21" fillId="0" borderId="86" xfId="0" applyNumberFormat="1" applyFont="1" applyBorder="1" applyAlignment="1" applyProtection="1">
      <alignment horizontal="right" vertical="center"/>
    </xf>
    <xf numFmtId="1" fontId="21" fillId="11" borderId="10" xfId="0" applyNumberFormat="1" applyFont="1" applyFill="1" applyBorder="1" applyAlignment="1" applyProtection="1">
      <alignment horizontal="right" vertical="center"/>
    </xf>
    <xf numFmtId="1" fontId="21" fillId="0" borderId="10" xfId="0" applyNumberFormat="1" applyFont="1" applyBorder="1" applyAlignment="1" applyProtection="1">
      <alignment horizontal="right" vertical="center"/>
    </xf>
    <xf numFmtId="170" fontId="21" fillId="11" borderId="0" xfId="7" applyNumberFormat="1" applyFont="1" applyFill="1" applyBorder="1" applyAlignment="1" applyProtection="1">
      <alignment vertical="center"/>
    </xf>
    <xf numFmtId="2" fontId="21" fillId="4" borderId="167" xfId="7" applyNumberFormat="1" applyFont="1" applyFill="1" applyBorder="1" applyAlignment="1" applyProtection="1">
      <alignment horizontal="center" vertical="center"/>
    </xf>
    <xf numFmtId="0" fontId="34" fillId="0" borderId="1" xfId="0" applyFont="1" applyBorder="1" applyAlignment="1">
      <alignment horizontal="center" vertical="center"/>
    </xf>
    <xf numFmtId="2" fontId="34" fillId="0" borderId="0" xfId="0" applyNumberFormat="1" applyFont="1"/>
    <xf numFmtId="198" fontId="48" fillId="9" borderId="0" xfId="0" applyNumberFormat="1" applyFont="1" applyFill="1" applyBorder="1"/>
    <xf numFmtId="198" fontId="48" fillId="9" borderId="5" xfId="0" applyNumberFormat="1" applyFont="1" applyFill="1" applyBorder="1"/>
    <xf numFmtId="0" fontId="0" fillId="3" borderId="5" xfId="0" applyFill="1" applyBorder="1"/>
    <xf numFmtId="0" fontId="0" fillId="3" borderId="6" xfId="0" applyFill="1" applyBorder="1"/>
    <xf numFmtId="0" fontId="121" fillId="0" borderId="0" xfId="9">
      <alignment vertical="center"/>
    </xf>
    <xf numFmtId="4" fontId="2" fillId="3" borderId="0" xfId="3">
      <alignment vertical="center"/>
    </xf>
    <xf numFmtId="0" fontId="21" fillId="0" borderId="0" xfId="0" applyFont="1"/>
    <xf numFmtId="178" fontId="8" fillId="0" borderId="27" xfId="0" applyNumberFormat="1" applyFont="1" applyFill="1" applyBorder="1" applyAlignment="1" applyProtection="1">
      <alignment vertical="center"/>
    </xf>
    <xf numFmtId="0" fontId="0" fillId="0" borderId="0" xfId="0" applyFill="1" applyBorder="1" applyAlignment="1">
      <alignment wrapText="1"/>
    </xf>
    <xf numFmtId="189" fontId="8" fillId="0" borderId="39" xfId="0" applyNumberFormat="1" applyFont="1" applyBorder="1" applyAlignment="1" applyProtection="1">
      <alignment horizontal="right" vertical="center"/>
    </xf>
    <xf numFmtId="0" fontId="0" fillId="0" borderId="122" xfId="0" applyBorder="1"/>
    <xf numFmtId="0" fontId="25" fillId="0" borderId="5" xfId="0" applyFont="1" applyBorder="1" applyAlignment="1">
      <alignment horizontal="right"/>
    </xf>
    <xf numFmtId="1" fontId="34" fillId="0" borderId="168" xfId="0" applyNumberFormat="1" applyFont="1" applyBorder="1" applyAlignment="1">
      <alignment horizontal="center" vertical="center"/>
    </xf>
    <xf numFmtId="1" fontId="34" fillId="0" borderId="138" xfId="0" applyNumberFormat="1" applyFont="1" applyBorder="1" applyAlignment="1">
      <alignment horizontal="center" vertical="center"/>
    </xf>
    <xf numFmtId="0" fontId="25" fillId="0" borderId="169" xfId="0" applyFont="1" applyBorder="1" applyAlignment="1">
      <alignment horizontal="center"/>
    </xf>
    <xf numFmtId="0" fontId="25" fillId="0" borderId="170" xfId="0" applyFont="1" applyBorder="1" applyAlignment="1">
      <alignment horizontal="center"/>
    </xf>
    <xf numFmtId="0" fontId="34" fillId="0" borderId="170" xfId="0" applyFont="1" applyBorder="1" applyAlignment="1">
      <alignment horizontal="center"/>
    </xf>
    <xf numFmtId="0" fontId="34" fillId="0" borderId="169" xfId="0" applyFont="1" applyBorder="1" applyAlignment="1">
      <alignment horizontal="center"/>
    </xf>
    <xf numFmtId="0" fontId="0" fillId="0" borderId="170" xfId="0" applyBorder="1"/>
    <xf numFmtId="0" fontId="0" fillId="0" borderId="169" xfId="0" applyBorder="1"/>
    <xf numFmtId="0" fontId="15" fillId="0" borderId="61" xfId="0" applyFont="1" applyBorder="1" applyAlignment="1" applyProtection="1">
      <alignment horizontal="center" vertical="center"/>
    </xf>
    <xf numFmtId="179" fontId="8" fillId="4" borderId="10" xfId="0" applyNumberFormat="1" applyFont="1" applyFill="1" applyBorder="1" applyAlignment="1" applyProtection="1">
      <alignment horizontal="center" vertical="center"/>
    </xf>
    <xf numFmtId="171" fontId="8" fillId="0" borderId="171" xfId="0" applyNumberFormat="1" applyFont="1" applyBorder="1" applyAlignment="1" applyProtection="1">
      <alignment horizontal="right" vertical="center"/>
    </xf>
    <xf numFmtId="0" fontId="8" fillId="0" borderId="33" xfId="0" applyFont="1" applyBorder="1" applyAlignment="1" applyProtection="1">
      <alignment horizontal="center" vertical="center"/>
    </xf>
    <xf numFmtId="0" fontId="15" fillId="0" borderId="18" xfId="8" applyFont="1" applyBorder="1" applyAlignment="1" applyProtection="1">
      <alignment horizontal="right" vertical="center"/>
    </xf>
    <xf numFmtId="2" fontId="2" fillId="0" borderId="1" xfId="6">
      <alignment vertical="center" shrinkToFit="1"/>
      <protection locked="0"/>
    </xf>
    <xf numFmtId="2" fontId="2" fillId="0" borderId="1" xfId="6" applyFont="1">
      <alignment vertical="center" shrinkToFit="1"/>
      <protection locked="0"/>
    </xf>
    <xf numFmtId="0" fontId="34" fillId="0" borderId="18" xfId="0" applyFont="1" applyBorder="1" applyAlignment="1" applyProtection="1">
      <alignment vertical="center"/>
    </xf>
    <xf numFmtId="170" fontId="161" fillId="4" borderId="18" xfId="7" applyNumberFormat="1" applyFont="1" applyFill="1" applyBorder="1" applyAlignment="1" applyProtection="1">
      <alignment vertical="center"/>
    </xf>
    <xf numFmtId="170" fontId="161" fillId="11" borderId="18" xfId="7" applyNumberFormat="1" applyFont="1" applyFill="1" applyBorder="1" applyAlignment="1" applyProtection="1">
      <alignment vertical="center"/>
    </xf>
    <xf numFmtId="170" fontId="161" fillId="4" borderId="89" xfId="7" applyNumberFormat="1" applyFont="1" applyFill="1" applyBorder="1" applyAlignment="1" applyProtection="1">
      <alignment vertical="center"/>
    </xf>
    <xf numFmtId="0" fontId="161" fillId="0" borderId="5" xfId="8" applyFont="1" applyBorder="1" applyAlignment="1" applyProtection="1">
      <alignment vertical="center"/>
    </xf>
    <xf numFmtId="170" fontId="25" fillId="0" borderId="86" xfId="0" applyNumberFormat="1" applyFont="1" applyBorder="1" applyAlignment="1" applyProtection="1">
      <alignment vertical="center"/>
    </xf>
    <xf numFmtId="180" fontId="25" fillId="11" borderId="4" xfId="0" applyNumberFormat="1" applyFont="1" applyFill="1" applyBorder="1" applyAlignment="1" applyProtection="1">
      <alignment vertical="center"/>
    </xf>
    <xf numFmtId="180" fontId="25" fillId="0" borderId="10" xfId="0" applyNumberFormat="1" applyFont="1" applyBorder="1" applyAlignment="1" applyProtection="1">
      <alignment vertical="center"/>
    </xf>
    <xf numFmtId="0" fontId="62" fillId="0" borderId="12" xfId="0" applyFont="1" applyBorder="1" applyAlignment="1" applyProtection="1">
      <alignment horizontal="right" vertical="center"/>
    </xf>
    <xf numFmtId="0" fontId="62" fillId="11" borderId="12" xfId="0" applyFont="1" applyFill="1" applyBorder="1" applyAlignment="1" applyProtection="1">
      <alignment horizontal="right" vertical="center"/>
    </xf>
    <xf numFmtId="0" fontId="62" fillId="0" borderId="73" xfId="0" applyFont="1" applyBorder="1" applyAlignment="1" applyProtection="1">
      <alignment horizontal="right" vertical="center"/>
    </xf>
    <xf numFmtId="179" fontId="15" fillId="11" borderId="10" xfId="7" applyNumberFormat="1" applyFont="1" applyFill="1" applyBorder="1" applyAlignment="1" applyProtection="1">
      <alignment vertical="center"/>
    </xf>
    <xf numFmtId="179" fontId="15" fillId="4" borderId="10" xfId="7" applyNumberFormat="1" applyFont="1" applyFill="1" applyBorder="1" applyAlignment="1" applyProtection="1">
      <alignment vertical="center"/>
    </xf>
    <xf numFmtId="170" fontId="15" fillId="2" borderId="19" xfId="0" applyNumberFormat="1" applyFont="1" applyFill="1" applyBorder="1" applyAlignment="1" applyProtection="1">
      <alignment horizontal="right" vertical="center"/>
      <protection locked="0"/>
    </xf>
    <xf numFmtId="0" fontId="21" fillId="0" borderId="18" xfId="8" applyFont="1" applyBorder="1" applyAlignment="1" applyProtection="1">
      <alignment horizontal="right" vertical="center"/>
    </xf>
    <xf numFmtId="0" fontId="20" fillId="0" borderId="88" xfId="8" applyFont="1" applyBorder="1" applyAlignment="1" applyProtection="1">
      <alignment vertical="center"/>
    </xf>
    <xf numFmtId="0" fontId="8" fillId="0" borderId="0" xfId="0" applyFont="1" applyProtection="1"/>
    <xf numFmtId="0" fontId="6" fillId="0" borderId="0" xfId="0" applyFont="1" applyProtection="1"/>
    <xf numFmtId="0" fontId="42" fillId="0" borderId="0" xfId="0" applyFont="1"/>
    <xf numFmtId="180" fontId="15" fillId="0" borderId="72" xfId="7" applyNumberFormat="1" applyFont="1" applyFill="1" applyBorder="1" applyAlignment="1" applyProtection="1">
      <alignment horizontal="right" vertical="center"/>
    </xf>
    <xf numFmtId="180" fontId="15" fillId="0" borderId="2" xfId="7" applyNumberFormat="1" applyFont="1" applyFill="1" applyBorder="1" applyAlignment="1" applyProtection="1">
      <alignment horizontal="right" vertical="center"/>
    </xf>
    <xf numFmtId="0" fontId="15" fillId="0" borderId="24" xfId="0" applyFont="1" applyBorder="1" applyAlignment="1" applyProtection="1">
      <alignment horizontal="right" vertical="center"/>
    </xf>
    <xf numFmtId="166" fontId="8" fillId="2" borderId="1" xfId="2" applyNumberFormat="1" applyBorder="1" applyAlignment="1" applyProtection="1">
      <alignment horizontal="center" vertical="center"/>
      <protection locked="0"/>
    </xf>
    <xf numFmtId="0" fontId="15" fillId="0" borderId="0" xfId="2" applyFont="1" applyFill="1" applyAlignment="1" applyProtection="1">
      <alignment horizontal="center" vertical="center"/>
    </xf>
    <xf numFmtId="0" fontId="8" fillId="0" borderId="44" xfId="0" applyFont="1" applyBorder="1" applyAlignment="1" applyProtection="1">
      <alignment horizontal="center" vertical="center"/>
    </xf>
    <xf numFmtId="0" fontId="8" fillId="0" borderId="41" xfId="0" applyFont="1" applyBorder="1" applyAlignment="1" applyProtection="1">
      <alignment horizontal="center" vertical="center"/>
    </xf>
    <xf numFmtId="179" fontId="8" fillId="4" borderId="78" xfId="0" applyNumberFormat="1" applyFont="1" applyFill="1" applyBorder="1" applyAlignment="1" applyProtection="1">
      <alignment horizontal="center" vertical="center"/>
    </xf>
    <xf numFmtId="171" fontId="8" fillId="0" borderId="172" xfId="0" applyNumberFormat="1" applyFont="1" applyBorder="1" applyAlignment="1" applyProtection="1">
      <alignment horizontal="right" vertical="center"/>
    </xf>
    <xf numFmtId="171" fontId="8" fillId="4" borderId="78" xfId="0" applyNumberFormat="1" applyFont="1" applyFill="1" applyBorder="1" applyAlignment="1" applyProtection="1">
      <alignment vertical="center"/>
    </xf>
    <xf numFmtId="2" fontId="25" fillId="0" borderId="2" xfId="0" applyNumberFormat="1" applyFont="1" applyBorder="1" applyAlignment="1" applyProtection="1">
      <alignment vertical="center"/>
    </xf>
    <xf numFmtId="2" fontId="0" fillId="0" borderId="2" xfId="0" applyNumberFormat="1" applyBorder="1"/>
    <xf numFmtId="0" fontId="0" fillId="0" borderId="34" xfId="0" applyBorder="1" applyAlignment="1">
      <alignment horizontal="right"/>
    </xf>
    <xf numFmtId="170" fontId="117" fillId="4" borderId="0" xfId="0" applyNumberFormat="1" applyFont="1" applyFill="1" applyBorder="1" applyAlignment="1" applyProtection="1">
      <alignment horizontal="left" vertical="center"/>
    </xf>
    <xf numFmtId="170" fontId="117" fillId="11" borderId="0" xfId="0" applyNumberFormat="1" applyFont="1" applyFill="1" applyBorder="1" applyAlignment="1" applyProtection="1">
      <alignment horizontal="left" vertical="center"/>
    </xf>
    <xf numFmtId="170" fontId="117" fillId="4" borderId="73" xfId="0" applyNumberFormat="1" applyFont="1" applyFill="1" applyBorder="1" applyAlignment="1" applyProtection="1">
      <alignment horizontal="left" vertical="center"/>
    </xf>
    <xf numFmtId="175" fontId="15" fillId="0" borderId="0" xfId="8" applyNumberFormat="1" applyFont="1" applyFill="1" applyBorder="1" applyAlignment="1" applyProtection="1">
      <alignment vertical="center"/>
    </xf>
    <xf numFmtId="0" fontId="127" fillId="0" borderId="24" xfId="0" applyFont="1" applyBorder="1" applyAlignment="1" applyProtection="1">
      <alignment vertical="center"/>
    </xf>
    <xf numFmtId="0" fontId="127" fillId="0" borderId="0" xfId="0" applyFont="1" applyBorder="1" applyAlignment="1" applyProtection="1">
      <alignment vertical="center"/>
    </xf>
    <xf numFmtId="2" fontId="142" fillId="0" borderId="0" xfId="8" applyNumberFormat="1" applyFont="1" applyFill="1" applyBorder="1" applyAlignment="1" applyProtection="1"/>
    <xf numFmtId="0" fontId="25" fillId="0" borderId="44" xfId="0" applyFont="1" applyBorder="1" applyAlignment="1" applyProtection="1">
      <alignment horizontal="right" vertical="center"/>
    </xf>
    <xf numFmtId="2" fontId="25" fillId="0" borderId="12" xfId="0" applyNumberFormat="1" applyFont="1" applyBorder="1" applyAlignment="1" applyProtection="1">
      <alignment horizontal="right" vertical="center"/>
    </xf>
    <xf numFmtId="2" fontId="25" fillId="0" borderId="0" xfId="0" applyNumberFormat="1" applyFont="1" applyBorder="1" applyAlignment="1" applyProtection="1">
      <alignment vertical="center"/>
    </xf>
    <xf numFmtId="0" fontId="25" fillId="0" borderId="19" xfId="0" applyFont="1" applyBorder="1" applyAlignment="1" applyProtection="1">
      <alignment vertical="center"/>
    </xf>
    <xf numFmtId="0" fontId="25" fillId="0" borderId="18" xfId="0" applyFont="1" applyBorder="1" applyAlignment="1" applyProtection="1">
      <alignment horizontal="left" vertical="center"/>
    </xf>
    <xf numFmtId="181" fontId="0" fillId="0" borderId="19" xfId="0" applyNumberFormat="1" applyBorder="1"/>
    <xf numFmtId="1" fontId="64" fillId="0" borderId="12" xfId="0" applyNumberFormat="1" applyFont="1" applyBorder="1" applyAlignment="1" applyProtection="1">
      <alignment horizontal="left" vertical="center"/>
    </xf>
    <xf numFmtId="0" fontId="0" fillId="5" borderId="2" xfId="0" applyFill="1" applyBorder="1" applyProtection="1"/>
    <xf numFmtId="0" fontId="0" fillId="5" borderId="23" xfId="0" applyFill="1" applyBorder="1" applyProtection="1"/>
    <xf numFmtId="1" fontId="64" fillId="0" borderId="73" xfId="0" applyNumberFormat="1" applyFont="1" applyBorder="1" applyAlignment="1" applyProtection="1">
      <alignment horizontal="left" vertical="center"/>
    </xf>
    <xf numFmtId="0" fontId="64" fillId="0" borderId="73" xfId="0" applyFont="1" applyBorder="1" applyAlignment="1" applyProtection="1">
      <alignment horizontal="left" vertical="center"/>
    </xf>
    <xf numFmtId="1" fontId="64" fillId="11" borderId="12" xfId="0" applyNumberFormat="1" applyFont="1" applyFill="1" applyBorder="1" applyAlignment="1" applyProtection="1">
      <alignment horizontal="left" vertical="center"/>
    </xf>
    <xf numFmtId="1" fontId="64" fillId="0" borderId="73" xfId="0" applyNumberFormat="1" applyFont="1" applyFill="1" applyBorder="1" applyAlignment="1" applyProtection="1">
      <alignment horizontal="left" vertical="center"/>
    </xf>
    <xf numFmtId="0" fontId="15" fillId="0" borderId="13" xfId="0" applyFont="1" applyBorder="1" applyAlignment="1" applyProtection="1">
      <alignment vertical="center"/>
    </xf>
    <xf numFmtId="0" fontId="15" fillId="0" borderId="6" xfId="0" applyFont="1" applyBorder="1" applyAlignment="1" applyProtection="1">
      <alignment vertical="center"/>
    </xf>
    <xf numFmtId="0" fontId="49" fillId="0" borderId="0" xfId="0" applyFont="1" applyBorder="1" applyAlignment="1" applyProtection="1">
      <alignment vertical="center"/>
    </xf>
    <xf numFmtId="0" fontId="49" fillId="0" borderId="0" xfId="0" applyFont="1" applyBorder="1" applyAlignment="1" applyProtection="1">
      <alignment horizontal="right" vertical="center"/>
    </xf>
    <xf numFmtId="170" fontId="49" fillId="0" borderId="2" xfId="0" applyNumberFormat="1" applyFont="1" applyBorder="1" applyAlignment="1" applyProtection="1">
      <alignment vertical="center"/>
    </xf>
    <xf numFmtId="0" fontId="49" fillId="0" borderId="12" xfId="0" applyFont="1" applyBorder="1" applyAlignment="1" applyProtection="1">
      <alignment horizontal="left" vertical="center"/>
    </xf>
    <xf numFmtId="0" fontId="49" fillId="0" borderId="0" xfId="0" applyFont="1" applyBorder="1"/>
    <xf numFmtId="170" fontId="49" fillId="0" borderId="2" xfId="0" applyNumberFormat="1" applyFont="1" applyBorder="1"/>
    <xf numFmtId="0" fontId="49" fillId="0" borderId="12" xfId="0" applyFont="1" applyBorder="1" applyAlignment="1">
      <alignment horizontal="left"/>
    </xf>
    <xf numFmtId="1" fontId="0" fillId="0" borderId="0" xfId="0" applyNumberFormat="1" applyBorder="1"/>
    <xf numFmtId="0" fontId="25" fillId="0" borderId="13" xfId="0" applyFont="1" applyBorder="1" applyAlignment="1" applyProtection="1">
      <alignment horizontal="right" vertical="center"/>
    </xf>
    <xf numFmtId="0" fontId="25" fillId="0" borderId="5" xfId="0" applyFont="1" applyBorder="1" applyAlignment="1" applyProtection="1">
      <alignment horizontal="right" vertical="center"/>
    </xf>
    <xf numFmtId="166" fontId="25" fillId="10" borderId="5" xfId="0" applyNumberFormat="1" applyFont="1" applyFill="1" applyBorder="1" applyAlignment="1" applyProtection="1">
      <alignment horizontal="right" vertical="center"/>
    </xf>
    <xf numFmtId="0" fontId="25" fillId="0" borderId="5" xfId="0" applyFont="1" applyBorder="1" applyAlignment="1" applyProtection="1">
      <alignment horizontal="left" vertical="center"/>
    </xf>
    <xf numFmtId="0" fontId="0" fillId="0" borderId="5" xfId="0" applyBorder="1" applyAlignment="1">
      <alignment horizontal="right"/>
    </xf>
    <xf numFmtId="166" fontId="0" fillId="10" borderId="5" xfId="0" applyNumberFormat="1" applyFill="1" applyBorder="1" applyAlignment="1">
      <alignment horizontal="right"/>
    </xf>
    <xf numFmtId="0" fontId="34" fillId="0" borderId="5" xfId="0" applyFont="1" applyBorder="1" applyAlignment="1" applyProtection="1">
      <alignment horizontal="right" vertical="center"/>
    </xf>
    <xf numFmtId="170" fontId="34" fillId="0" borderId="3" xfId="0" applyNumberFormat="1" applyFont="1" applyBorder="1" applyAlignment="1" applyProtection="1">
      <alignment vertical="center"/>
    </xf>
    <xf numFmtId="181" fontId="34" fillId="0" borderId="6" xfId="0" applyNumberFormat="1" applyFont="1" applyBorder="1"/>
    <xf numFmtId="170" fontId="34" fillId="0" borderId="5" xfId="0" applyNumberFormat="1" applyFont="1" applyBorder="1" applyAlignment="1" applyProtection="1">
      <alignment vertical="center"/>
    </xf>
    <xf numFmtId="170" fontId="34" fillId="0" borderId="3" xfId="0" applyNumberFormat="1" applyFont="1" applyBorder="1"/>
    <xf numFmtId="170" fontId="34" fillId="0" borderId="5" xfId="0" applyNumberFormat="1" applyFont="1" applyBorder="1"/>
    <xf numFmtId="0" fontId="127" fillId="0" borderId="10" xfId="0" applyFont="1" applyBorder="1" applyAlignment="1" applyProtection="1">
      <alignment vertical="center"/>
    </xf>
    <xf numFmtId="0" fontId="49" fillId="0" borderId="4" xfId="0" applyFont="1" applyBorder="1" applyAlignment="1" applyProtection="1">
      <alignment vertical="center"/>
    </xf>
    <xf numFmtId="166" fontId="49" fillId="10" borderId="4" xfId="0" applyNumberFormat="1" applyFont="1" applyFill="1" applyBorder="1" applyAlignment="1" applyProtection="1">
      <alignment horizontal="right" vertical="center"/>
    </xf>
    <xf numFmtId="0" fontId="49" fillId="0" borderId="4" xfId="0" applyFont="1" applyBorder="1" applyAlignment="1" applyProtection="1">
      <alignment horizontal="right" vertical="center"/>
    </xf>
    <xf numFmtId="170" fontId="49" fillId="0" borderId="10" xfId="0" applyNumberFormat="1" applyFont="1" applyBorder="1" applyAlignment="1" applyProtection="1">
      <alignment vertical="center"/>
    </xf>
    <xf numFmtId="0" fontId="49" fillId="0" borderId="13" xfId="0" applyFont="1" applyBorder="1" applyAlignment="1" applyProtection="1">
      <alignment horizontal="left" vertical="center"/>
    </xf>
    <xf numFmtId="170" fontId="49" fillId="0" borderId="4" xfId="0" applyNumberFormat="1" applyFont="1" applyBorder="1" applyAlignment="1" applyProtection="1">
      <alignment vertical="center"/>
    </xf>
    <xf numFmtId="0" fontId="49" fillId="0" borderId="4" xfId="0" applyFont="1" applyBorder="1"/>
    <xf numFmtId="166" fontId="49" fillId="10" borderId="4" xfId="0" applyNumberFormat="1" applyFont="1" applyFill="1" applyBorder="1" applyAlignment="1">
      <alignment horizontal="right"/>
    </xf>
    <xf numFmtId="170" fontId="49" fillId="0" borderId="10" xfId="0" applyNumberFormat="1" applyFont="1" applyBorder="1"/>
    <xf numFmtId="0" fontId="49" fillId="0" borderId="13" xfId="0" applyFont="1" applyBorder="1" applyAlignment="1">
      <alignment horizontal="left"/>
    </xf>
    <xf numFmtId="170" fontId="49" fillId="0" borderId="4" xfId="0" applyNumberFormat="1" applyFont="1" applyBorder="1"/>
    <xf numFmtId="0" fontId="127" fillId="0" borderId="78" xfId="0" applyFont="1" applyBorder="1" applyAlignment="1" applyProtection="1">
      <alignment vertical="center"/>
    </xf>
    <xf numFmtId="0" fontId="49" fillId="0" borderId="44" xfId="0" applyFont="1" applyBorder="1" applyAlignment="1" applyProtection="1">
      <alignment vertical="center"/>
    </xf>
    <xf numFmtId="166" fontId="49" fillId="10" borderId="44" xfId="0" applyNumberFormat="1" applyFont="1" applyFill="1" applyBorder="1" applyAlignment="1" applyProtection="1">
      <alignment horizontal="right" vertical="center"/>
    </xf>
    <xf numFmtId="0" fontId="49" fillId="0" borderId="44" xfId="0" applyFont="1" applyBorder="1"/>
    <xf numFmtId="166" fontId="49" fillId="10" borderId="44" xfId="0" applyNumberFormat="1" applyFont="1" applyFill="1" applyBorder="1" applyAlignment="1">
      <alignment horizontal="right"/>
    </xf>
    <xf numFmtId="0" fontId="169" fillId="0" borderId="44" xfId="0" applyFont="1" applyBorder="1" applyAlignment="1" applyProtection="1">
      <alignment horizontal="right" vertical="center"/>
    </xf>
    <xf numFmtId="193" fontId="169" fillId="0" borderId="78" xfId="0" applyNumberFormat="1" applyFont="1" applyBorder="1" applyAlignment="1" applyProtection="1">
      <alignment vertical="center"/>
    </xf>
    <xf numFmtId="193" fontId="169" fillId="0" borderId="79" xfId="0" applyNumberFormat="1" applyFont="1" applyBorder="1" applyAlignment="1" applyProtection="1">
      <alignment horizontal="left" vertical="center"/>
    </xf>
    <xf numFmtId="0" fontId="169" fillId="0" borderId="79" xfId="0" applyFont="1" applyBorder="1" applyAlignment="1" applyProtection="1">
      <alignment horizontal="left" vertical="center"/>
    </xf>
    <xf numFmtId="193" fontId="169" fillId="0" borderId="78" xfId="0" applyNumberFormat="1" applyFont="1" applyBorder="1"/>
    <xf numFmtId="193" fontId="169" fillId="0" borderId="79" xfId="0" applyNumberFormat="1" applyFont="1" applyBorder="1" applyAlignment="1">
      <alignment horizontal="left"/>
    </xf>
    <xf numFmtId="1" fontId="2" fillId="0" borderId="1" xfId="6" applyNumberFormat="1">
      <alignment vertical="center" shrinkToFit="1"/>
      <protection locked="0"/>
    </xf>
    <xf numFmtId="3" fontId="5" fillId="2" borderId="90" xfId="7" applyNumberFormat="1" applyFont="1" applyFill="1" applyBorder="1" applyAlignment="1" applyProtection="1">
      <alignment vertical="center"/>
      <protection locked="0"/>
    </xf>
    <xf numFmtId="3" fontId="5" fillId="2" borderId="24" xfId="7" applyNumberFormat="1" applyFont="1" applyFill="1" applyBorder="1" applyAlignment="1" applyProtection="1">
      <alignment vertical="center"/>
      <protection locked="0"/>
    </xf>
    <xf numFmtId="3" fontId="5" fillId="2" borderId="1" xfId="7" applyNumberFormat="1" applyFont="1" applyFill="1" applyBorder="1" applyAlignment="1" applyProtection="1">
      <alignment horizontal="centerContinuous" vertical="center"/>
      <protection locked="0"/>
    </xf>
    <xf numFmtId="166" fontId="0" fillId="0" borderId="24" xfId="0" applyNumberFormat="1" applyFill="1" applyBorder="1" applyAlignment="1">
      <alignment horizontal="left"/>
    </xf>
    <xf numFmtId="1" fontId="21" fillId="0" borderId="72" xfId="0" applyNumberFormat="1" applyFont="1" applyFill="1" applyBorder="1" applyAlignment="1" applyProtection="1">
      <alignment horizontal="right"/>
    </xf>
    <xf numFmtId="1" fontId="21" fillId="0" borderId="2" xfId="0" applyNumberFormat="1" applyFont="1" applyFill="1" applyBorder="1" applyAlignment="1" applyProtection="1">
      <alignment horizontal="right" vertical="center"/>
    </xf>
    <xf numFmtId="1" fontId="83" fillId="0" borderId="12" xfId="0" applyNumberFormat="1" applyFont="1" applyBorder="1" applyAlignment="1" applyProtection="1">
      <alignment horizontal="right" vertical="center"/>
    </xf>
    <xf numFmtId="1" fontId="83" fillId="11" borderId="12" xfId="0" applyNumberFormat="1" applyFont="1" applyFill="1" applyBorder="1" applyAlignment="1" applyProtection="1">
      <alignment horizontal="right" vertical="center"/>
    </xf>
    <xf numFmtId="1" fontId="83" fillId="0" borderId="73" xfId="0" applyNumberFormat="1" applyFont="1" applyBorder="1" applyAlignment="1" applyProtection="1">
      <alignment horizontal="right" vertical="center"/>
    </xf>
    <xf numFmtId="0" fontId="83" fillId="0" borderId="0" xfId="0" applyFont="1" applyAlignment="1" applyProtection="1">
      <alignment vertical="center"/>
    </xf>
    <xf numFmtId="0" fontId="168" fillId="4" borderId="0" xfId="8" applyFont="1" applyFill="1" applyBorder="1" applyAlignment="1" applyProtection="1">
      <alignment vertical="center"/>
    </xf>
    <xf numFmtId="180" fontId="21" fillId="2" borderId="72" xfId="7" applyNumberFormat="1" applyFont="1" applyFill="1" applyBorder="1" applyAlignment="1" applyProtection="1">
      <alignment horizontal="right" vertical="center"/>
      <protection locked="0"/>
    </xf>
    <xf numFmtId="180" fontId="21" fillId="2" borderId="2" xfId="7" applyNumberFormat="1" applyFont="1" applyFill="1" applyBorder="1" applyAlignment="1" applyProtection="1">
      <alignment horizontal="right" vertical="center"/>
      <protection locked="0"/>
    </xf>
    <xf numFmtId="180" fontId="21" fillId="0" borderId="72" xfId="7" applyNumberFormat="1" applyFont="1" applyFill="1" applyBorder="1" applyAlignment="1" applyProtection="1">
      <alignment horizontal="right" vertical="center"/>
    </xf>
    <xf numFmtId="180" fontId="21" fillId="0" borderId="2" xfId="7" applyNumberFormat="1" applyFont="1" applyFill="1" applyBorder="1" applyAlignment="1" applyProtection="1">
      <alignment horizontal="right" vertical="center"/>
    </xf>
    <xf numFmtId="4" fontId="2" fillId="0" borderId="0" xfId="3" applyFill="1">
      <alignment vertical="center"/>
    </xf>
    <xf numFmtId="0" fontId="2" fillId="0" borderId="11" xfId="0" applyFont="1" applyBorder="1" applyAlignment="1" applyProtection="1">
      <alignment horizontal="left" vertical="center"/>
    </xf>
    <xf numFmtId="2" fontId="15" fillId="9" borderId="23" xfId="0" applyNumberFormat="1" applyFont="1" applyFill="1" applyBorder="1" applyAlignment="1" applyProtection="1">
      <alignment vertical="center"/>
    </xf>
    <xf numFmtId="166" fontId="15" fillId="9" borderId="1" xfId="0" applyNumberFormat="1" applyFont="1" applyFill="1" applyBorder="1" applyAlignment="1" applyProtection="1">
      <alignment vertical="center"/>
    </xf>
    <xf numFmtId="2" fontId="17" fillId="0" borderId="33" xfId="0" applyNumberFormat="1" applyFont="1" applyBorder="1" applyAlignment="1" applyProtection="1">
      <alignment vertical="center"/>
    </xf>
    <xf numFmtId="2" fontId="17" fillId="0" borderId="1" xfId="0" applyNumberFormat="1" applyFont="1" applyBorder="1" applyAlignment="1" applyProtection="1">
      <alignment vertical="center"/>
    </xf>
    <xf numFmtId="2" fontId="15" fillId="9" borderId="20" xfId="0" applyNumberFormat="1" applyFont="1" applyFill="1" applyBorder="1" applyAlignment="1" applyProtection="1">
      <alignment vertical="center"/>
    </xf>
    <xf numFmtId="0" fontId="22" fillId="0" borderId="0" xfId="0" applyFont="1" applyProtection="1"/>
    <xf numFmtId="0" fontId="22" fillId="0" borderId="3" xfId="0" applyFont="1" applyBorder="1" applyAlignment="1" applyProtection="1">
      <alignment vertical="center"/>
    </xf>
    <xf numFmtId="0" fontId="22" fillId="0" borderId="5" xfId="0" applyFont="1" applyBorder="1" applyAlignment="1" applyProtection="1">
      <alignment vertical="center"/>
    </xf>
    <xf numFmtId="0" fontId="40" fillId="0" borderId="5" xfId="0" applyFont="1" applyBorder="1" applyAlignment="1" applyProtection="1">
      <alignment vertical="center"/>
    </xf>
    <xf numFmtId="2" fontId="22" fillId="0" borderId="33" xfId="0" applyNumberFormat="1" applyFont="1" applyBorder="1" applyAlignment="1" applyProtection="1">
      <alignment vertical="center"/>
    </xf>
    <xf numFmtId="0" fontId="40" fillId="0" borderId="6" xfId="0" applyFont="1" applyBorder="1" applyAlignment="1" applyProtection="1">
      <alignment vertical="center"/>
    </xf>
    <xf numFmtId="0" fontId="0" fillId="0" borderId="0" xfId="0" applyBorder="1" applyAlignment="1" applyProtection="1">
      <alignment horizontal="right"/>
    </xf>
    <xf numFmtId="9" fontId="0" fillId="0" borderId="0" xfId="0" applyNumberFormat="1" applyBorder="1" applyProtection="1"/>
    <xf numFmtId="0" fontId="0" fillId="0" borderId="11" xfId="0" applyBorder="1" applyAlignment="1" applyProtection="1">
      <alignment horizontal="right"/>
    </xf>
    <xf numFmtId="209" fontId="0" fillId="0" borderId="23" xfId="10" applyNumberFormat="1" applyFont="1" applyBorder="1" applyAlignment="1" applyProtection="1">
      <alignment shrinkToFit="1"/>
    </xf>
    <xf numFmtId="209" fontId="0" fillId="0" borderId="1" xfId="10" applyNumberFormat="1" applyFont="1" applyBorder="1" applyAlignment="1" applyProtection="1">
      <alignment shrinkToFit="1"/>
    </xf>
    <xf numFmtId="0" fontId="25" fillId="0" borderId="5" xfId="8" applyFont="1" applyBorder="1" applyAlignment="1" applyProtection="1">
      <alignment horizontal="left" vertical="center"/>
    </xf>
    <xf numFmtId="0" fontId="15" fillId="0" borderId="85" xfId="8" applyFont="1" applyBorder="1" applyAlignment="1" applyProtection="1">
      <alignment horizontal="right" vertical="center"/>
    </xf>
    <xf numFmtId="182" fontId="15" fillId="0" borderId="72" xfId="7" applyNumberFormat="1" applyFont="1" applyFill="1" applyBorder="1" applyAlignment="1" applyProtection="1">
      <alignment vertical="center"/>
      <protection locked="0"/>
    </xf>
    <xf numFmtId="182" fontId="15" fillId="0" borderId="0" xfId="7" applyNumberFormat="1" applyFont="1" applyFill="1" applyBorder="1" applyAlignment="1" applyProtection="1">
      <alignment vertical="center"/>
      <protection locked="0"/>
    </xf>
    <xf numFmtId="182" fontId="15" fillId="11" borderId="2" xfId="7" applyNumberFormat="1" applyFont="1" applyFill="1" applyBorder="1" applyAlignment="1" applyProtection="1">
      <alignment vertical="center"/>
      <protection locked="0"/>
    </xf>
    <xf numFmtId="0" fontId="145" fillId="0" borderId="75" xfId="8" applyFont="1" applyBorder="1" applyAlignment="1" applyProtection="1">
      <alignment vertical="center"/>
    </xf>
    <xf numFmtId="0" fontId="6" fillId="0" borderId="75" xfId="8" applyFont="1" applyBorder="1" applyAlignment="1" applyProtection="1">
      <alignment vertical="center"/>
    </xf>
    <xf numFmtId="0" fontId="11" fillId="0" borderId="75" xfId="8" applyFont="1" applyBorder="1" applyAlignment="1" applyProtection="1">
      <alignment vertical="center"/>
    </xf>
    <xf numFmtId="0" fontId="146" fillId="4" borderId="75" xfId="8" applyFont="1" applyFill="1" applyBorder="1" applyAlignment="1" applyProtection="1">
      <alignment horizontal="right" vertical="center"/>
    </xf>
    <xf numFmtId="0" fontId="146" fillId="4" borderId="76" xfId="8" applyFont="1" applyFill="1" applyBorder="1" applyAlignment="1" applyProtection="1">
      <alignment vertical="center"/>
    </xf>
    <xf numFmtId="181" fontId="147" fillId="0" borderId="173" xfId="0" applyNumberFormat="1" applyFont="1" applyBorder="1" applyAlignment="1">
      <alignment horizontal="center" vertical="center"/>
    </xf>
    <xf numFmtId="181" fontId="147" fillId="11" borderId="173" xfId="0" applyNumberFormat="1" applyFont="1" applyFill="1" applyBorder="1" applyAlignment="1">
      <alignment horizontal="center" vertical="center"/>
    </xf>
    <xf numFmtId="170" fontId="146" fillId="0" borderId="153" xfId="0" applyNumberFormat="1" applyFont="1" applyBorder="1" applyAlignment="1">
      <alignment horizontal="right" vertical="center"/>
    </xf>
    <xf numFmtId="170" fontId="147" fillId="11" borderId="82" xfId="0" applyNumberFormat="1" applyFont="1" applyFill="1" applyBorder="1" applyAlignment="1">
      <alignment horizontal="right" vertical="center"/>
    </xf>
    <xf numFmtId="170" fontId="146" fillId="0" borderId="82" xfId="0" applyNumberFormat="1" applyFont="1" applyBorder="1" applyAlignment="1">
      <alignment horizontal="right" vertical="center"/>
    </xf>
    <xf numFmtId="2" fontId="2" fillId="0" borderId="1" xfId="6" applyFont="1" applyAlignment="1">
      <alignment horizontal="right" vertical="center" shrinkToFit="1"/>
      <protection locked="0"/>
    </xf>
    <xf numFmtId="0" fontId="8" fillId="0" borderId="0" xfId="8" applyFont="1" applyBorder="1" applyAlignment="1" applyProtection="1">
      <alignment horizontal="right"/>
    </xf>
    <xf numFmtId="0" fontId="117" fillId="0" borderId="0" xfId="8" applyFont="1" applyBorder="1" applyAlignment="1" applyProtection="1">
      <alignment vertical="center"/>
    </xf>
    <xf numFmtId="0" fontId="8" fillId="0" borderId="0" xfId="8" applyFont="1" applyBorder="1" applyAlignment="1" applyProtection="1">
      <alignment horizontal="right" vertical="center"/>
    </xf>
    <xf numFmtId="0" fontId="20" fillId="0" borderId="174" xfId="8" applyFont="1" applyBorder="1" applyAlignment="1" applyProtection="1">
      <alignment vertical="center"/>
    </xf>
    <xf numFmtId="0" fontId="170" fillId="0" borderId="0" xfId="8" applyFont="1" applyBorder="1" applyAlignment="1" applyProtection="1">
      <alignment vertical="center"/>
    </xf>
    <xf numFmtId="170" fontId="21" fillId="11" borderId="6" xfId="0" applyNumberFormat="1" applyFont="1" applyFill="1" applyBorder="1" applyAlignment="1" applyProtection="1">
      <alignment horizontal="right" vertical="center"/>
    </xf>
    <xf numFmtId="210" fontId="21" fillId="2" borderId="72" xfId="7" applyNumberFormat="1" applyFont="1" applyFill="1" applyBorder="1" applyAlignment="1" applyProtection="1">
      <alignment horizontal="right" vertical="center"/>
      <protection locked="0"/>
    </xf>
    <xf numFmtId="210" fontId="21" fillId="0" borderId="174" xfId="0" applyNumberFormat="1" applyFont="1" applyFill="1" applyBorder="1" applyAlignment="1" applyProtection="1">
      <alignment horizontal="right" vertical="center"/>
      <protection locked="0"/>
    </xf>
    <xf numFmtId="210" fontId="21" fillId="2" borderId="2" xfId="7" applyNumberFormat="1" applyFont="1" applyFill="1" applyBorder="1" applyAlignment="1" applyProtection="1">
      <alignment horizontal="right" vertical="center"/>
      <protection locked="0"/>
    </xf>
    <xf numFmtId="210" fontId="21" fillId="0" borderId="175" xfId="0" applyNumberFormat="1" applyFont="1" applyFill="1" applyBorder="1" applyAlignment="1" applyProtection="1">
      <alignment horizontal="right" vertical="center"/>
      <protection locked="0"/>
    </xf>
    <xf numFmtId="210" fontId="21" fillId="11" borderId="175" xfId="0" applyNumberFormat="1" applyFont="1" applyFill="1" applyBorder="1" applyAlignment="1" applyProtection="1">
      <alignment horizontal="right" vertical="center"/>
      <protection locked="0"/>
    </xf>
    <xf numFmtId="170" fontId="21" fillId="4" borderId="176" xfId="7" applyNumberFormat="1" applyFont="1" applyFill="1" applyBorder="1" applyAlignment="1" applyProtection="1">
      <alignment vertical="center"/>
    </xf>
    <xf numFmtId="170" fontId="21" fillId="11" borderId="176" xfId="7" applyNumberFormat="1" applyFont="1" applyFill="1" applyBorder="1" applyAlignment="1" applyProtection="1">
      <alignment vertical="center"/>
    </xf>
    <xf numFmtId="0" fontId="6" fillId="0" borderId="176" xfId="8" applyFont="1" applyBorder="1" applyAlignment="1" applyProtection="1">
      <alignment vertical="center"/>
    </xf>
    <xf numFmtId="0" fontId="6" fillId="0" borderId="176" xfId="0" applyFont="1" applyBorder="1" applyAlignment="1" applyProtection="1">
      <alignment vertical="center"/>
    </xf>
    <xf numFmtId="0" fontId="6" fillId="0" borderId="176" xfId="8" applyFont="1" applyBorder="1" applyAlignment="1" applyProtection="1">
      <alignment horizontal="left" vertical="center"/>
    </xf>
    <xf numFmtId="0" fontId="6" fillId="0" borderId="176" xfId="0" applyFont="1" applyBorder="1"/>
    <xf numFmtId="0" fontId="6" fillId="0" borderId="176" xfId="8" applyFont="1" applyBorder="1" applyAlignment="1" applyProtection="1">
      <alignment horizontal="right" vertical="center"/>
    </xf>
    <xf numFmtId="0" fontId="6" fillId="0" borderId="177" xfId="8" applyFont="1" applyBorder="1" applyAlignment="1" applyProtection="1">
      <alignment horizontal="right" vertical="center"/>
    </xf>
    <xf numFmtId="0" fontId="116" fillId="0" borderId="0" xfId="8" applyFont="1" applyBorder="1" applyAlignment="1" applyProtection="1">
      <alignment vertical="center"/>
    </xf>
    <xf numFmtId="0" fontId="116" fillId="0" borderId="0" xfId="0" applyFont="1" applyBorder="1" applyAlignment="1" applyProtection="1">
      <alignment vertical="center"/>
    </xf>
    <xf numFmtId="0" fontId="116" fillId="0" borderId="73" xfId="8" applyFont="1" applyBorder="1" applyAlignment="1" applyProtection="1">
      <alignment horizontal="right" vertical="center"/>
    </xf>
    <xf numFmtId="170" fontId="34" fillId="0" borderId="12" xfId="0" applyNumberFormat="1" applyFont="1" applyBorder="1" applyAlignment="1" applyProtection="1">
      <alignment horizontal="right" vertical="center"/>
    </xf>
    <xf numFmtId="180" fontId="34" fillId="11" borderId="12" xfId="7" applyNumberFormat="1" applyFont="1" applyFill="1" applyBorder="1" applyAlignment="1" applyProtection="1">
      <alignment horizontal="right" vertical="center"/>
    </xf>
    <xf numFmtId="170" fontId="34" fillId="0" borderId="73" xfId="7" applyNumberFormat="1" applyFont="1" applyBorder="1" applyAlignment="1" applyProtection="1">
      <alignment horizontal="right" vertical="center"/>
    </xf>
    <xf numFmtId="0" fontId="48" fillId="0" borderId="90" xfId="8" applyFont="1" applyBorder="1" applyAlignment="1" applyProtection="1">
      <alignment horizontal="center" vertical="top"/>
    </xf>
    <xf numFmtId="0" fontId="6" fillId="0" borderId="11" xfId="8" applyFont="1" applyBorder="1" applyAlignment="1" applyProtection="1">
      <alignment vertical="center"/>
    </xf>
    <xf numFmtId="0" fontId="12" fillId="4" borderId="11" xfId="8" applyFont="1" applyFill="1" applyBorder="1" applyAlignment="1" applyProtection="1">
      <alignment vertical="center"/>
    </xf>
    <xf numFmtId="0" fontId="12" fillId="4" borderId="81" xfId="8" applyFont="1" applyFill="1" applyBorder="1" applyAlignment="1" applyProtection="1">
      <alignment vertical="center"/>
    </xf>
    <xf numFmtId="171" fontId="6" fillId="0" borderId="90" xfId="0" applyNumberFormat="1" applyFont="1" applyBorder="1" applyAlignment="1">
      <alignment vertical="center"/>
    </xf>
    <xf numFmtId="171" fontId="6" fillId="11" borderId="24" xfId="0" applyNumberFormat="1" applyFont="1" applyFill="1" applyBorder="1" applyAlignment="1">
      <alignment vertical="center"/>
    </xf>
    <xf numFmtId="171" fontId="6" fillId="0" borderId="58" xfId="0" applyNumberFormat="1" applyFont="1" applyBorder="1" applyAlignment="1">
      <alignment vertical="center"/>
    </xf>
    <xf numFmtId="178" fontId="8" fillId="0" borderId="72" xfId="0" applyNumberFormat="1" applyFont="1" applyBorder="1" applyAlignment="1">
      <alignment vertical="center"/>
    </xf>
    <xf numFmtId="178" fontId="8" fillId="11" borderId="2" xfId="0" applyNumberFormat="1" applyFont="1" applyFill="1" applyBorder="1" applyAlignment="1">
      <alignment vertical="center"/>
    </xf>
    <xf numFmtId="178" fontId="8" fillId="0" borderId="112" xfId="0" applyNumberFormat="1" applyFont="1" applyBorder="1" applyAlignment="1">
      <alignment vertical="center"/>
    </xf>
    <xf numFmtId="170" fontId="21" fillId="4" borderId="177" xfId="7" applyNumberFormat="1" applyFont="1" applyFill="1" applyBorder="1" applyAlignment="1" applyProtection="1">
      <alignment vertical="center"/>
    </xf>
    <xf numFmtId="2" fontId="8" fillId="4" borderId="20" xfId="7" applyNumberFormat="1" applyFont="1" applyFill="1" applyBorder="1" applyAlignment="1" applyProtection="1">
      <alignment horizontal="center" vertical="center"/>
    </xf>
    <xf numFmtId="2" fontId="8" fillId="4" borderId="23" xfId="7" applyNumberFormat="1" applyFont="1" applyFill="1" applyBorder="1" applyAlignment="1" applyProtection="1">
      <alignment horizontal="center" vertical="center"/>
    </xf>
    <xf numFmtId="2" fontId="8" fillId="4" borderId="33" xfId="7" applyNumberFormat="1" applyFont="1" applyFill="1" applyBorder="1" applyAlignment="1" applyProtection="1">
      <alignment horizontal="center" vertical="center"/>
    </xf>
    <xf numFmtId="171" fontId="8" fillId="0" borderId="72" xfId="0" applyNumberFormat="1" applyFont="1" applyBorder="1" applyAlignment="1">
      <alignment vertical="center"/>
    </xf>
    <xf numFmtId="171" fontId="8" fillId="11" borderId="2" xfId="0" applyNumberFormat="1" applyFont="1" applyFill="1" applyBorder="1" applyAlignment="1">
      <alignment vertical="center"/>
    </xf>
    <xf numFmtId="171" fontId="8" fillId="0" borderId="112" xfId="0" applyNumberFormat="1" applyFont="1" applyBorder="1" applyAlignment="1">
      <alignment vertical="center"/>
    </xf>
    <xf numFmtId="0" fontId="12" fillId="0" borderId="0" xfId="0" applyFont="1" applyBorder="1" applyAlignment="1">
      <alignment horizontal="right"/>
    </xf>
    <xf numFmtId="0" fontId="12" fillId="0" borderId="73" xfId="8" applyFont="1" applyBorder="1" applyAlignment="1" applyProtection="1"/>
    <xf numFmtId="0" fontId="2" fillId="0" borderId="0" xfId="0" applyFont="1" applyBorder="1" applyAlignment="1"/>
    <xf numFmtId="0" fontId="12" fillId="0" borderId="0" xfId="8" applyFont="1" applyBorder="1" applyAlignment="1" applyProtection="1">
      <alignment horizontal="right"/>
    </xf>
    <xf numFmtId="171" fontId="8" fillId="0" borderId="0" xfId="0" applyNumberFormat="1" applyFont="1" applyFill="1" applyBorder="1" applyAlignment="1" applyProtection="1">
      <alignment vertical="center"/>
      <protection locked="0"/>
    </xf>
    <xf numFmtId="171" fontId="8" fillId="2" borderId="162" xfId="0" applyNumberFormat="1" applyFont="1" applyFill="1" applyBorder="1" applyAlignment="1" applyProtection="1">
      <alignment vertical="center"/>
    </xf>
    <xf numFmtId="171" fontId="8" fillId="2" borderId="62" xfId="0" applyNumberFormat="1" applyFont="1" applyFill="1" applyBorder="1" applyAlignment="1" applyProtection="1">
      <alignment vertical="center"/>
    </xf>
    <xf numFmtId="171" fontId="8" fillId="2" borderId="44" xfId="0" applyNumberFormat="1" applyFont="1" applyFill="1" applyBorder="1" applyAlignment="1" applyProtection="1">
      <alignment vertical="center"/>
    </xf>
    <xf numFmtId="0" fontId="6" fillId="0" borderId="5" xfId="8" applyFont="1" applyBorder="1" applyAlignment="1" applyProtection="1">
      <alignment vertical="center"/>
    </xf>
    <xf numFmtId="170" fontId="8" fillId="11" borderId="6" xfId="0" applyNumberFormat="1" applyFont="1" applyFill="1" applyBorder="1" applyAlignment="1">
      <alignment horizontal="right" vertical="center"/>
    </xf>
    <xf numFmtId="186" fontId="6" fillId="0" borderId="111" xfId="0" applyNumberFormat="1" applyFont="1" applyBorder="1" applyAlignment="1">
      <alignment horizontal="right" vertical="center"/>
    </xf>
    <xf numFmtId="186" fontId="6" fillId="11" borderId="12" xfId="0" applyNumberFormat="1" applyFont="1" applyFill="1" applyBorder="1" applyAlignment="1">
      <alignment horizontal="right" vertical="center"/>
    </xf>
    <xf numFmtId="186" fontId="6" fillId="0" borderId="12" xfId="0" applyNumberFormat="1" applyFont="1" applyBorder="1" applyAlignment="1">
      <alignment horizontal="right" vertical="center"/>
    </xf>
    <xf numFmtId="0" fontId="146" fillId="4" borderId="85" xfId="8" applyFont="1" applyFill="1" applyBorder="1" applyAlignment="1" applyProtection="1">
      <alignment vertical="center"/>
    </xf>
    <xf numFmtId="181" fontId="147" fillId="0" borderId="115" xfId="0" applyNumberFormat="1" applyFont="1" applyBorder="1" applyAlignment="1">
      <alignment horizontal="center" vertical="center"/>
    </xf>
    <xf numFmtId="181" fontId="147" fillId="11" borderId="115" xfId="0" applyNumberFormat="1" applyFont="1" applyFill="1" applyBorder="1" applyAlignment="1">
      <alignment horizontal="center" vertical="center"/>
    </xf>
    <xf numFmtId="170" fontId="146" fillId="0" borderId="114" xfId="0" applyNumberFormat="1" applyFont="1" applyBorder="1" applyAlignment="1">
      <alignment horizontal="right" vertical="center"/>
    </xf>
    <xf numFmtId="170" fontId="147" fillId="11" borderId="6" xfId="0" applyNumberFormat="1" applyFont="1" applyFill="1" applyBorder="1" applyAlignment="1">
      <alignment horizontal="right" vertical="center"/>
    </xf>
    <xf numFmtId="170" fontId="146" fillId="0" borderId="6" xfId="0" applyNumberFormat="1" applyFont="1" applyBorder="1" applyAlignment="1">
      <alignment horizontal="right" vertical="center"/>
    </xf>
    <xf numFmtId="0" fontId="48" fillId="0" borderId="75" xfId="8" applyFont="1" applyBorder="1" applyAlignment="1" applyProtection="1">
      <alignment vertical="center"/>
    </xf>
    <xf numFmtId="0" fontId="48" fillId="3" borderId="8" xfId="8" applyFont="1" applyFill="1" applyBorder="1" applyAlignment="1" applyProtection="1">
      <alignment vertical="center"/>
    </xf>
    <xf numFmtId="0" fontId="0" fillId="0" borderId="75" xfId="0" applyBorder="1" applyAlignment="1">
      <alignment vertical="center"/>
    </xf>
    <xf numFmtId="0" fontId="5" fillId="0" borderId="75" xfId="8" applyFont="1" applyBorder="1" applyAlignment="1" applyProtection="1">
      <alignment vertical="center"/>
    </xf>
    <xf numFmtId="0" fontId="117" fillId="0" borderId="75" xfId="8" applyFont="1" applyBorder="1" applyAlignment="1" applyProtection="1">
      <alignment vertical="center"/>
    </xf>
    <xf numFmtId="0" fontId="12" fillId="0" borderId="75" xfId="0" applyFont="1" applyBorder="1" applyAlignment="1">
      <alignment horizontal="right" vertical="center"/>
    </xf>
    <xf numFmtId="0" fontId="12" fillId="4" borderId="75" xfId="8" applyFont="1" applyFill="1" applyBorder="1" applyAlignment="1" applyProtection="1">
      <alignment vertical="center"/>
    </xf>
    <xf numFmtId="186" fontId="6" fillId="0" borderId="173" xfId="0" applyNumberFormat="1" applyFont="1" applyBorder="1" applyAlignment="1">
      <alignment horizontal="center" vertical="center"/>
    </xf>
    <xf numFmtId="186" fontId="6" fillId="11" borderId="173" xfId="0" applyNumberFormat="1" applyFont="1" applyFill="1" applyBorder="1" applyAlignment="1">
      <alignment horizontal="center" vertical="center"/>
    </xf>
    <xf numFmtId="186" fontId="6" fillId="0" borderId="76" xfId="0" applyNumberFormat="1" applyFont="1" applyBorder="1" applyAlignment="1">
      <alignment horizontal="center" vertical="center"/>
    </xf>
    <xf numFmtId="171" fontId="88" fillId="2" borderId="62" xfId="0" applyNumberFormat="1" applyFont="1" applyFill="1" applyBorder="1" applyAlignment="1" applyProtection="1">
      <alignment vertical="center"/>
      <protection locked="0"/>
    </xf>
    <xf numFmtId="171" fontId="88" fillId="2" borderId="27" xfId="0" applyNumberFormat="1" applyFont="1" applyFill="1" applyBorder="1" applyAlignment="1" applyProtection="1">
      <alignment vertical="center"/>
      <protection locked="0"/>
    </xf>
    <xf numFmtId="171" fontId="88" fillId="2" borderId="22" xfId="0" applyNumberFormat="1" applyFont="1" applyFill="1" applyBorder="1" applyAlignment="1" applyProtection="1">
      <alignment vertical="center"/>
      <protection locked="0"/>
    </xf>
    <xf numFmtId="171" fontId="88" fillId="2" borderId="28" xfId="0" applyNumberFormat="1" applyFont="1" applyFill="1" applyBorder="1" applyAlignment="1" applyProtection="1">
      <alignment vertical="center"/>
      <protection locked="0"/>
    </xf>
    <xf numFmtId="0" fontId="6" fillId="0" borderId="11" xfId="0" applyFont="1" applyBorder="1" applyAlignment="1" applyProtection="1">
      <alignment horizontal="center" vertical="center"/>
    </xf>
    <xf numFmtId="167" fontId="8" fillId="0" borderId="37" xfId="7" applyNumberFormat="1" applyFont="1" applyFill="1" applyBorder="1" applyAlignment="1" applyProtection="1">
      <alignment horizontal="center" vertical="center"/>
    </xf>
    <xf numFmtId="167" fontId="8" fillId="0" borderId="38" xfId="7" applyNumberFormat="1" applyFont="1" applyFill="1" applyBorder="1" applyAlignment="1" applyProtection="1">
      <alignment horizontal="center" vertical="center"/>
    </xf>
    <xf numFmtId="167" fontId="8" fillId="0" borderId="41" xfId="7" applyNumberFormat="1" applyFont="1" applyFill="1" applyBorder="1" applyAlignment="1" applyProtection="1">
      <alignment horizontal="center" vertical="center"/>
    </xf>
    <xf numFmtId="178" fontId="8" fillId="4" borderId="5" xfId="0" applyNumberFormat="1" applyFont="1" applyFill="1" applyBorder="1" applyAlignment="1" applyProtection="1">
      <alignment vertical="top"/>
    </xf>
    <xf numFmtId="178" fontId="8" fillId="4" borderId="43" xfId="0" applyNumberFormat="1" applyFont="1" applyFill="1" applyBorder="1" applyAlignment="1" applyProtection="1">
      <alignment vertical="top"/>
    </xf>
    <xf numFmtId="167" fontId="8" fillId="0" borderId="14" xfId="7" applyNumberFormat="1" applyFont="1" applyFill="1" applyBorder="1" applyAlignment="1" applyProtection="1">
      <alignment horizontal="center" vertical="center"/>
    </xf>
    <xf numFmtId="0" fontId="0" fillId="0" borderId="35" xfId="0" applyFill="1" applyBorder="1" applyAlignment="1" applyProtection="1">
      <alignment horizontal="center"/>
    </xf>
    <xf numFmtId="167" fontId="8" fillId="0" borderId="35" xfId="7" applyNumberFormat="1" applyFont="1" applyFill="1" applyBorder="1" applyAlignment="1" applyProtection="1">
      <alignment horizontal="center" vertical="center"/>
    </xf>
    <xf numFmtId="167" fontId="8" fillId="0" borderId="44" xfId="7" applyNumberFormat="1" applyFont="1" applyFill="1" applyBorder="1" applyAlignment="1" applyProtection="1">
      <alignment horizontal="center" vertical="center"/>
    </xf>
    <xf numFmtId="178" fontId="12" fillId="4" borderId="6" xfId="0" applyNumberFormat="1" applyFont="1" applyFill="1" applyBorder="1" applyAlignment="1" applyProtection="1">
      <alignment vertical="center"/>
    </xf>
    <xf numFmtId="180" fontId="8" fillId="2" borderId="25" xfId="0" applyNumberFormat="1" applyFont="1" applyFill="1" applyBorder="1" applyAlignment="1" applyProtection="1">
      <alignment horizontal="right" vertical="center"/>
      <protection locked="0"/>
    </xf>
    <xf numFmtId="180" fontId="8" fillId="2" borderId="178" xfId="0" applyNumberFormat="1" applyFont="1" applyFill="1" applyBorder="1" applyAlignment="1" applyProtection="1">
      <alignment horizontal="right" vertical="center"/>
      <protection locked="0"/>
    </xf>
    <xf numFmtId="0" fontId="20" fillId="0" borderId="24" xfId="0" applyFont="1" applyBorder="1" applyAlignment="1">
      <alignment vertical="center"/>
    </xf>
    <xf numFmtId="0" fontId="21" fillId="0" borderId="11" xfId="0" applyFont="1" applyBorder="1" applyAlignment="1">
      <alignment vertical="center"/>
    </xf>
    <xf numFmtId="0" fontId="21" fillId="0" borderId="2" xfId="0" applyFont="1" applyBorder="1" applyAlignment="1">
      <alignment vertical="center"/>
    </xf>
    <xf numFmtId="0" fontId="20" fillId="0" borderId="11" xfId="0" applyFont="1" applyBorder="1" applyAlignment="1">
      <alignment vertical="center"/>
    </xf>
    <xf numFmtId="195" fontId="20" fillId="0" borderId="34" xfId="11" applyNumberFormat="1" applyFont="1" applyBorder="1" applyAlignment="1">
      <alignment vertical="center"/>
    </xf>
    <xf numFmtId="0" fontId="20" fillId="0" borderId="2" xfId="0" applyFont="1" applyBorder="1" applyAlignment="1">
      <alignment vertical="center"/>
    </xf>
    <xf numFmtId="195" fontId="20" fillId="0" borderId="3" xfId="11" applyNumberFormat="1" applyFont="1" applyBorder="1" applyAlignment="1">
      <alignment vertical="center"/>
    </xf>
    <xf numFmtId="195" fontId="20" fillId="0" borderId="5" xfId="11" applyNumberFormat="1" applyFont="1" applyBorder="1" applyAlignment="1">
      <alignment vertical="center"/>
    </xf>
    <xf numFmtId="195" fontId="20" fillId="0" borderId="6" xfId="11" applyNumberFormat="1" applyFont="1" applyBorder="1" applyAlignment="1">
      <alignment vertical="center"/>
    </xf>
    <xf numFmtId="0" fontId="171" fillId="0" borderId="0" xfId="0" applyFont="1"/>
    <xf numFmtId="1" fontId="20" fillId="0" borderId="1" xfId="0" applyNumberFormat="1" applyFont="1" applyBorder="1" applyAlignment="1">
      <alignment horizontal="center" vertical="center"/>
    </xf>
    <xf numFmtId="0" fontId="21" fillId="0" borderId="179" xfId="0" applyFont="1" applyBorder="1" applyAlignment="1">
      <alignment horizontal="center" vertical="center"/>
    </xf>
    <xf numFmtId="0" fontId="21" fillId="0" borderId="180" xfId="0" applyFont="1" applyBorder="1" applyAlignment="1">
      <alignment horizontal="center" vertical="center"/>
    </xf>
    <xf numFmtId="0" fontId="21" fillId="0" borderId="12" xfId="0" applyFont="1" applyBorder="1" applyAlignment="1">
      <alignment horizontal="center" vertical="center"/>
    </xf>
    <xf numFmtId="195" fontId="20" fillId="0" borderId="33" xfId="11" applyNumberFormat="1" applyFont="1" applyBorder="1" applyAlignment="1">
      <alignment horizontal="center" vertical="center"/>
    </xf>
    <xf numFmtId="211" fontId="68" fillId="0" borderId="1" xfId="1" applyNumberFormat="1" applyFont="1" applyBorder="1" applyAlignment="1">
      <alignment horizontal="center" vertical="center"/>
    </xf>
    <xf numFmtId="0" fontId="2" fillId="0" borderId="0" xfId="0" applyFont="1" applyBorder="1" applyAlignment="1" applyProtection="1">
      <alignment horizontal="center" vertical="center"/>
    </xf>
    <xf numFmtId="0" fontId="15" fillId="0" borderId="181" xfId="0" applyFont="1" applyBorder="1" applyAlignment="1" applyProtection="1">
      <alignment vertical="center"/>
    </xf>
    <xf numFmtId="0" fontId="15" fillId="0" borderId="182" xfId="0" applyFont="1" applyBorder="1" applyAlignment="1" applyProtection="1">
      <alignment vertical="center"/>
    </xf>
    <xf numFmtId="0" fontId="0" fillId="0" borderId="182" xfId="0" applyBorder="1" applyAlignment="1" applyProtection="1">
      <alignment vertical="center"/>
    </xf>
    <xf numFmtId="0" fontId="15" fillId="0" borderId="182" xfId="0" applyFont="1" applyBorder="1" applyAlignment="1" applyProtection="1">
      <alignment horizontal="center" vertical="center"/>
    </xf>
    <xf numFmtId="0" fontId="2" fillId="0" borderId="182" xfId="0" applyFont="1" applyBorder="1" applyAlignment="1" applyProtection="1">
      <alignment horizontal="center" vertical="center"/>
    </xf>
    <xf numFmtId="178" fontId="8" fillId="2" borderId="182" xfId="0" applyNumberFormat="1" applyFont="1" applyFill="1" applyBorder="1" applyAlignment="1" applyProtection="1">
      <alignment vertical="center"/>
      <protection locked="0"/>
    </xf>
    <xf numFmtId="0" fontId="15" fillId="0" borderId="183" xfId="0" applyFont="1" applyBorder="1" applyAlignment="1" applyProtection="1">
      <alignment horizontal="center" vertical="center"/>
    </xf>
    <xf numFmtId="0" fontId="15" fillId="0" borderId="184" xfId="0" applyFont="1" applyBorder="1" applyAlignment="1" applyProtection="1">
      <alignment vertical="center"/>
    </xf>
    <xf numFmtId="0" fontId="15" fillId="0" borderId="185" xfId="0" applyFont="1" applyBorder="1" applyAlignment="1" applyProtection="1">
      <alignment vertical="center"/>
    </xf>
    <xf numFmtId="0" fontId="0" fillId="0" borderId="185" xfId="0" applyBorder="1" applyAlignment="1" applyProtection="1">
      <alignment vertical="center"/>
    </xf>
    <xf numFmtId="0" fontId="15" fillId="0" borderId="185" xfId="0" applyFont="1" applyBorder="1" applyAlignment="1" applyProtection="1">
      <alignment horizontal="center" vertical="center"/>
    </xf>
    <xf numFmtId="0" fontId="2" fillId="0" borderId="185" xfId="0" applyFont="1" applyBorder="1" applyAlignment="1" applyProtection="1">
      <alignment horizontal="center" vertical="center"/>
    </xf>
    <xf numFmtId="178" fontId="8" fillId="2" borderId="185" xfId="0" applyNumberFormat="1" applyFont="1" applyFill="1" applyBorder="1" applyAlignment="1" applyProtection="1">
      <alignment vertical="center"/>
      <protection locked="0"/>
    </xf>
    <xf numFmtId="0" fontId="15" fillId="0" borderId="163" xfId="0" applyFont="1" applyBorder="1" applyAlignment="1" applyProtection="1">
      <alignment horizontal="center" vertical="center"/>
    </xf>
    <xf numFmtId="0" fontId="15" fillId="0" borderId="186" xfId="0" applyFont="1" applyBorder="1" applyAlignment="1" applyProtection="1">
      <alignment vertical="center"/>
    </xf>
    <xf numFmtId="0" fontId="15" fillId="0" borderId="167" xfId="0" applyFont="1" applyBorder="1" applyAlignment="1" applyProtection="1">
      <alignment vertical="center"/>
    </xf>
    <xf numFmtId="0" fontId="0" fillId="0" borderId="167" xfId="0" applyBorder="1" applyAlignment="1" applyProtection="1">
      <alignment vertical="center"/>
    </xf>
    <xf numFmtId="0" fontId="15" fillId="0" borderId="167" xfId="0" applyFont="1" applyBorder="1" applyAlignment="1" applyProtection="1">
      <alignment horizontal="center" vertical="center"/>
    </xf>
    <xf numFmtId="0" fontId="2" fillId="0" borderId="167" xfId="0" applyFont="1" applyBorder="1" applyAlignment="1" applyProtection="1">
      <alignment horizontal="center" vertical="center"/>
    </xf>
    <xf numFmtId="178" fontId="8" fillId="2" borderId="167" xfId="0" applyNumberFormat="1" applyFont="1" applyFill="1" applyBorder="1" applyAlignment="1" applyProtection="1">
      <alignment vertical="center"/>
      <protection locked="0"/>
    </xf>
    <xf numFmtId="0" fontId="15" fillId="0" borderId="172" xfId="0" applyFont="1" applyBorder="1" applyAlignment="1" applyProtection="1">
      <alignment horizontal="center" vertical="center"/>
    </xf>
    <xf numFmtId="0" fontId="2" fillId="0" borderId="12" xfId="0" applyFont="1" applyBorder="1" applyAlignment="1" applyProtection="1">
      <alignment horizontal="center" vertical="center"/>
    </xf>
    <xf numFmtId="188" fontId="64" fillId="0" borderId="12" xfId="0" applyNumberFormat="1" applyFont="1" applyBorder="1" applyAlignment="1" applyProtection="1">
      <alignment horizontal="left" vertical="center"/>
    </xf>
    <xf numFmtId="0" fontId="34" fillId="0" borderId="13" xfId="0" applyFont="1" applyBorder="1" applyAlignment="1" applyProtection="1">
      <alignment horizontal="right" vertical="center"/>
    </xf>
    <xf numFmtId="0" fontId="34" fillId="0" borderId="0" xfId="0" applyFont="1" applyBorder="1" applyAlignment="1" applyProtection="1">
      <alignment horizontal="right" vertical="center"/>
    </xf>
    <xf numFmtId="2" fontId="21" fillId="0" borderId="20" xfId="0" applyNumberFormat="1" applyFont="1" applyBorder="1"/>
    <xf numFmtId="0" fontId="21" fillId="0" borderId="12" xfId="0" applyFont="1" applyBorder="1"/>
    <xf numFmtId="1" fontId="21" fillId="0" borderId="0" xfId="0" applyNumberFormat="1" applyFont="1" applyBorder="1"/>
    <xf numFmtId="0" fontId="21" fillId="0" borderId="24" xfId="0" applyFont="1" applyBorder="1"/>
    <xf numFmtId="0" fontId="21" fillId="0" borderId="11" xfId="0" applyFont="1" applyBorder="1"/>
    <xf numFmtId="2" fontId="21" fillId="0" borderId="1" xfId="0" applyNumberFormat="1" applyFont="1" applyBorder="1"/>
    <xf numFmtId="1" fontId="21" fillId="0" borderId="11" xfId="0" applyNumberFormat="1" applyFont="1" applyBorder="1"/>
    <xf numFmtId="0" fontId="21" fillId="0" borderId="34" xfId="0" applyFont="1" applyBorder="1" applyAlignment="1" applyProtection="1">
      <alignment vertical="center"/>
    </xf>
    <xf numFmtId="0" fontId="21" fillId="0" borderId="23" xfId="0" applyFont="1" applyBorder="1"/>
    <xf numFmtId="0" fontId="21" fillId="0" borderId="12" xfId="0" applyFont="1" applyBorder="1" applyAlignment="1" applyProtection="1">
      <alignment vertical="center"/>
    </xf>
    <xf numFmtId="0" fontId="21" fillId="0" borderId="1" xfId="0" applyFont="1" applyBorder="1"/>
    <xf numFmtId="2" fontId="21" fillId="0" borderId="33" xfId="0" applyNumberFormat="1" applyFont="1" applyBorder="1"/>
    <xf numFmtId="0" fontId="21" fillId="0" borderId="6" xfId="0" applyFont="1" applyBorder="1"/>
    <xf numFmtId="1" fontId="21" fillId="0" borderId="24" xfId="0" applyNumberFormat="1" applyFont="1" applyBorder="1"/>
    <xf numFmtId="1" fontId="21" fillId="0" borderId="2" xfId="0" applyNumberFormat="1" applyFont="1" applyBorder="1"/>
    <xf numFmtId="0" fontId="21" fillId="0" borderId="3" xfId="0" applyFont="1" applyBorder="1"/>
    <xf numFmtId="1" fontId="20" fillId="3" borderId="3" xfId="0" applyNumberFormat="1" applyFont="1" applyFill="1" applyBorder="1"/>
    <xf numFmtId="0" fontId="21" fillId="0" borderId="6" xfId="0" applyFont="1" applyBorder="1" applyAlignment="1" applyProtection="1">
      <alignment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87" fillId="0" borderId="3" xfId="0" applyFont="1" applyFill="1" applyBorder="1" applyAlignment="1" applyProtection="1">
      <alignment vertical="center"/>
    </xf>
    <xf numFmtId="0" fontId="12" fillId="0" borderId="5" xfId="0" applyFont="1" applyFill="1" applyBorder="1" applyAlignment="1" applyProtection="1">
      <alignment vertical="center"/>
    </xf>
    <xf numFmtId="0" fontId="65" fillId="0" borderId="4" xfId="4" applyBorder="1" applyAlignment="1" applyProtection="1">
      <protection locked="0"/>
    </xf>
    <xf numFmtId="166" fontId="117" fillId="2" borderId="185" xfId="2" applyNumberFormat="1" applyFont="1" applyBorder="1" applyProtection="1">
      <alignment horizontal="right" vertical="center"/>
      <protection locked="0"/>
    </xf>
    <xf numFmtId="0" fontId="49" fillId="0" borderId="0" xfId="0" applyFont="1" applyProtection="1"/>
    <xf numFmtId="172" fontId="6" fillId="11" borderId="90" xfId="0" applyNumberFormat="1" applyFont="1" applyFill="1" applyBorder="1" applyAlignment="1">
      <alignment vertical="center"/>
    </xf>
    <xf numFmtId="172" fontId="6" fillId="11" borderId="58" xfId="0" applyNumberFormat="1" applyFont="1" applyFill="1" applyBorder="1" applyAlignment="1">
      <alignment vertical="center"/>
    </xf>
    <xf numFmtId="1" fontId="21" fillId="0" borderId="2" xfId="0" applyNumberFormat="1" applyFont="1" applyFill="1" applyBorder="1" applyAlignment="1" applyProtection="1">
      <alignment horizontal="right"/>
    </xf>
    <xf numFmtId="1" fontId="21" fillId="4" borderId="0" xfId="0" applyNumberFormat="1" applyFont="1" applyFill="1" applyBorder="1" applyAlignment="1" applyProtection="1">
      <alignment horizontal="right" vertical="center"/>
    </xf>
    <xf numFmtId="1" fontId="21" fillId="11" borderId="0" xfId="0" applyNumberFormat="1" applyFont="1" applyFill="1" applyBorder="1" applyAlignment="1" applyProtection="1">
      <alignment horizontal="right" vertical="center"/>
    </xf>
    <xf numFmtId="188" fontId="0" fillId="0" borderId="0" xfId="0" applyNumberFormat="1" applyBorder="1" applyAlignment="1" applyProtection="1">
      <alignment vertical="center"/>
    </xf>
    <xf numFmtId="180" fontId="15" fillId="0" borderId="0" xfId="0" applyNumberFormat="1" applyFont="1"/>
    <xf numFmtId="171" fontId="8" fillId="4" borderId="22" xfId="0" applyNumberFormat="1" applyFont="1" applyFill="1" applyBorder="1" applyAlignment="1" applyProtection="1">
      <alignment horizontal="right" vertical="center"/>
    </xf>
    <xf numFmtId="171" fontId="88" fillId="2" borderId="22" xfId="0" applyNumberFormat="1" applyFont="1" applyFill="1" applyBorder="1" applyAlignment="1" applyProtection="1">
      <alignment horizontal="right" vertical="center"/>
      <protection locked="0"/>
    </xf>
    <xf numFmtId="171" fontId="8" fillId="2" borderId="22" xfId="0" applyNumberFormat="1" applyFont="1" applyFill="1" applyBorder="1" applyAlignment="1" applyProtection="1">
      <alignment horizontal="right" vertical="center"/>
      <protection locked="0"/>
    </xf>
    <xf numFmtId="171" fontId="8" fillId="0" borderId="32" xfId="0" applyNumberFormat="1" applyFont="1" applyBorder="1" applyAlignment="1" applyProtection="1">
      <alignment horizontal="right" vertical="center"/>
    </xf>
    <xf numFmtId="0" fontId="8" fillId="0" borderId="33" xfId="0" applyFont="1" applyBorder="1" applyAlignment="1" applyProtection="1">
      <alignment horizontal="right" vertical="center"/>
    </xf>
    <xf numFmtId="0" fontId="121" fillId="0" borderId="0" xfId="0" applyFont="1" applyProtection="1"/>
    <xf numFmtId="0" fontId="128" fillId="0" borderId="0" xfId="0" applyFont="1" applyFill="1" applyBorder="1" applyAlignment="1" applyProtection="1">
      <alignment vertical="center"/>
    </xf>
    <xf numFmtId="166" fontId="2" fillId="0" borderId="1" xfId="6" applyNumberFormat="1">
      <alignment vertical="center" shrinkToFit="1"/>
      <protection locked="0"/>
    </xf>
    <xf numFmtId="1" fontId="34" fillId="0" borderId="1" xfId="6" applyNumberFormat="1" applyFont="1">
      <alignment vertical="center" shrinkToFit="1"/>
      <protection locked="0"/>
    </xf>
    <xf numFmtId="2" fontId="2" fillId="0" borderId="1" xfId="6" applyAlignment="1">
      <alignment horizontal="center" vertical="center" shrinkToFit="1"/>
      <protection locked="0"/>
    </xf>
    <xf numFmtId="2" fontId="34" fillId="0" borderId="1" xfId="6" applyFont="1" applyAlignment="1">
      <alignment horizontal="center" vertical="center" shrinkToFit="1"/>
      <protection locked="0"/>
    </xf>
    <xf numFmtId="3" fontId="17" fillId="0" borderId="0" xfId="0" applyNumberFormat="1" applyFont="1"/>
    <xf numFmtId="0" fontId="62" fillId="0" borderId="4" xfId="0" applyFont="1" applyBorder="1" applyAlignment="1" applyProtection="1">
      <alignment vertical="center"/>
    </xf>
    <xf numFmtId="0" fontId="128" fillId="0" borderId="0" xfId="0" applyFont="1" applyFill="1" applyBorder="1" applyAlignment="1" applyProtection="1">
      <alignment horizontal="right" vertical="center"/>
    </xf>
    <xf numFmtId="171" fontId="8" fillId="0" borderId="27" xfId="0" applyNumberFormat="1" applyFont="1" applyFill="1" applyBorder="1" applyAlignment="1" applyProtection="1">
      <alignment horizontal="center" vertical="center"/>
    </xf>
    <xf numFmtId="189" fontId="8" fillId="0" borderId="27" xfId="0" applyNumberFormat="1" applyFont="1" applyFill="1" applyBorder="1" applyAlignment="1" applyProtection="1">
      <alignment vertical="center"/>
    </xf>
    <xf numFmtId="180" fontId="8" fillId="0" borderId="27" xfId="0" applyNumberFormat="1" applyFont="1" applyFill="1" applyBorder="1" applyAlignment="1" applyProtection="1">
      <alignment horizontal="right" vertical="center"/>
    </xf>
    <xf numFmtId="181" fontId="8" fillId="0" borderId="27" xfId="0" applyNumberFormat="1" applyFont="1" applyFill="1" applyBorder="1" applyAlignment="1" applyProtection="1">
      <alignment horizontal="right" vertical="center"/>
    </xf>
    <xf numFmtId="0" fontId="23" fillId="0" borderId="0" xfId="0" applyFont="1" applyFill="1" applyAlignment="1" applyProtection="1">
      <alignment vertical="center"/>
    </xf>
    <xf numFmtId="171" fontId="8" fillId="0" borderId="27" xfId="0" applyNumberFormat="1" applyFont="1" applyFill="1" applyBorder="1" applyAlignment="1" applyProtection="1">
      <alignment vertical="center"/>
    </xf>
    <xf numFmtId="171" fontId="8" fillId="0" borderId="62" xfId="0" applyNumberFormat="1" applyFont="1" applyFill="1" applyBorder="1" applyAlignment="1" applyProtection="1">
      <alignment vertical="center"/>
    </xf>
    <xf numFmtId="171" fontId="8" fillId="0" borderId="162" xfId="0" applyNumberFormat="1" applyFont="1" applyFill="1" applyBorder="1" applyAlignment="1" applyProtection="1">
      <alignment vertical="center"/>
    </xf>
    <xf numFmtId="171" fontId="8" fillId="0" borderId="28" xfId="0" applyNumberFormat="1" applyFont="1" applyFill="1" applyBorder="1" applyAlignment="1" applyProtection="1">
      <alignment vertical="center"/>
    </xf>
    <xf numFmtId="9" fontId="0" fillId="0" borderId="0" xfId="0" applyNumberFormat="1"/>
    <xf numFmtId="200" fontId="0" fillId="0" borderId="124" xfId="0" applyNumberFormat="1" applyBorder="1" applyAlignment="1">
      <alignment horizontal="center"/>
    </xf>
    <xf numFmtId="0" fontId="48" fillId="0" borderId="24" xfId="0" applyFont="1" applyBorder="1"/>
    <xf numFmtId="0" fontId="48" fillId="0" borderId="11" xfId="0" applyFont="1" applyBorder="1"/>
    <xf numFmtId="0" fontId="48" fillId="0" borderId="3" xfId="0" applyFont="1" applyBorder="1"/>
    <xf numFmtId="0" fontId="48" fillId="0" borderId="5" xfId="0" applyFont="1" applyBorder="1"/>
    <xf numFmtId="0" fontId="48" fillId="0" borderId="10" xfId="0" applyFont="1" applyBorder="1"/>
    <xf numFmtId="0" fontId="48" fillId="0" borderId="4" xfId="0" applyFont="1" applyBorder="1"/>
    <xf numFmtId="3" fontId="174" fillId="0" borderId="20" xfId="0" applyNumberFormat="1" applyFont="1" applyBorder="1"/>
    <xf numFmtId="3" fontId="174" fillId="0" borderId="23" xfId="0" applyNumberFormat="1" applyFont="1" applyBorder="1"/>
    <xf numFmtId="0" fontId="66" fillId="0" borderId="24" xfId="0" applyFont="1" applyBorder="1"/>
    <xf numFmtId="3" fontId="174" fillId="0" borderId="1" xfId="0" applyNumberFormat="1" applyFont="1" applyBorder="1"/>
    <xf numFmtId="3" fontId="174" fillId="0" borderId="0" xfId="0" applyNumberFormat="1" applyFont="1"/>
    <xf numFmtId="3" fontId="174" fillId="0" borderId="23" xfId="0" applyNumberFormat="1" applyFont="1" applyBorder="1" applyAlignment="1">
      <alignment horizontal="right"/>
    </xf>
    <xf numFmtId="3" fontId="174" fillId="0" borderId="33" xfId="0" applyNumberFormat="1" applyFont="1" applyBorder="1"/>
    <xf numFmtId="3" fontId="174" fillId="0" borderId="0" xfId="0" applyNumberFormat="1" applyFont="1" applyBorder="1"/>
    <xf numFmtId="0" fontId="34" fillId="0" borderId="24" xfId="0" applyFont="1" applyBorder="1"/>
    <xf numFmtId="0" fontId="25" fillId="0" borderId="11" xfId="0" applyFont="1" applyBorder="1"/>
    <xf numFmtId="0" fontId="0" fillId="0" borderId="3" xfId="0" applyFill="1" applyBorder="1" applyAlignment="1">
      <alignment horizontal="center" vertical="center"/>
    </xf>
    <xf numFmtId="3" fontId="0" fillId="0" borderId="135" xfId="0" applyNumberFormat="1" applyBorder="1" applyAlignment="1">
      <alignment horizontal="right" vertical="center"/>
    </xf>
    <xf numFmtId="3" fontId="0" fillId="0" borderId="127" xfId="0" applyNumberFormat="1" applyBorder="1" applyAlignment="1">
      <alignment horizontal="right" vertical="center"/>
    </xf>
    <xf numFmtId="3" fontId="0" fillId="0" borderId="123" xfId="0" applyNumberFormat="1" applyBorder="1" applyAlignment="1">
      <alignment horizontal="right" vertical="center"/>
    </xf>
    <xf numFmtId="3" fontId="34" fillId="0" borderId="12" xfId="0" applyNumberFormat="1" applyFont="1" applyBorder="1" applyAlignment="1">
      <alignment horizontal="right" vertical="center"/>
    </xf>
    <xf numFmtId="3" fontId="0" fillId="0" borderId="3" xfId="0" applyNumberFormat="1" applyBorder="1" applyAlignment="1">
      <alignment horizontal="right"/>
    </xf>
    <xf numFmtId="3" fontId="0" fillId="0" borderId="187" xfId="0" applyNumberFormat="1" applyBorder="1" applyAlignment="1">
      <alignment horizontal="right"/>
    </xf>
    <xf numFmtId="3" fontId="34" fillId="0" borderId="33" xfId="0" applyNumberFormat="1" applyFont="1" applyBorder="1" applyAlignment="1">
      <alignment horizontal="right" vertical="center"/>
    </xf>
    <xf numFmtId="199" fontId="0" fillId="0" borderId="5" xfId="0" applyNumberFormat="1" applyBorder="1" applyAlignment="1">
      <alignment horizontal="right"/>
    </xf>
    <xf numFmtId="199" fontId="0" fillId="0" borderId="0" xfId="0" applyNumberFormat="1" applyAlignment="1">
      <alignment horizontal="right"/>
    </xf>
    <xf numFmtId="16" fontId="0" fillId="0" borderId="1" xfId="0" applyNumberFormat="1" applyBorder="1" applyAlignment="1">
      <alignment horizontal="right" vertical="center"/>
    </xf>
    <xf numFmtId="0" fontId="0" fillId="0" borderId="11" xfId="0" applyBorder="1" applyAlignment="1">
      <alignment horizontal="right" vertical="center"/>
    </xf>
    <xf numFmtId="0" fontId="0" fillId="0" borderId="1" xfId="0" applyBorder="1" applyAlignment="1">
      <alignment horizontal="right" vertical="center"/>
    </xf>
    <xf numFmtId="199" fontId="34" fillId="0" borderId="1" xfId="0" applyNumberFormat="1" applyFont="1" applyBorder="1" applyAlignment="1">
      <alignment horizontal="right" vertical="center"/>
    </xf>
    <xf numFmtId="3" fontId="0" fillId="0" borderId="13" xfId="0" applyNumberFormat="1" applyBorder="1" applyAlignment="1">
      <alignment horizontal="right" vertical="center"/>
    </xf>
    <xf numFmtId="166" fontId="0" fillId="0" borderId="135" xfId="0" applyNumberFormat="1" applyBorder="1" applyAlignment="1">
      <alignment horizontal="right" vertical="center"/>
    </xf>
    <xf numFmtId="166" fontId="0" fillId="0" borderId="127" xfId="0" applyNumberFormat="1" applyBorder="1" applyAlignment="1">
      <alignment horizontal="right" vertical="center"/>
    </xf>
    <xf numFmtId="166" fontId="0" fillId="0" borderId="13" xfId="0" applyNumberFormat="1" applyBorder="1" applyAlignment="1">
      <alignment horizontal="right" vertical="center"/>
    </xf>
    <xf numFmtId="0" fontId="34" fillId="0" borderId="1" xfId="0" applyFont="1" applyBorder="1" applyAlignment="1">
      <alignment horizontal="right" vertical="center"/>
    </xf>
    <xf numFmtId="9" fontId="25" fillId="0" borderId="188" xfId="7" applyFont="1" applyBorder="1" applyAlignment="1">
      <alignment horizontal="right" vertical="center"/>
    </xf>
    <xf numFmtId="9" fontId="25" fillId="0" borderId="123" xfId="7" applyFont="1" applyBorder="1" applyAlignment="1">
      <alignment horizontal="right" vertical="center"/>
    </xf>
    <xf numFmtId="9" fontId="0" fillId="0" borderId="12" xfId="0" applyNumberFormat="1" applyBorder="1" applyAlignment="1">
      <alignment horizontal="right" vertical="center"/>
    </xf>
    <xf numFmtId="9" fontId="25" fillId="0" borderId="189" xfId="7" applyFont="1" applyBorder="1" applyAlignment="1">
      <alignment horizontal="right" vertical="center"/>
    </xf>
    <xf numFmtId="9" fontId="25" fillId="0" borderId="125" xfId="7" applyFont="1" applyBorder="1" applyAlignment="1">
      <alignment horizontal="right" vertical="center"/>
    </xf>
    <xf numFmtId="9" fontId="0" fillId="0" borderId="6" xfId="0" applyNumberFormat="1" applyBorder="1" applyAlignment="1">
      <alignment horizontal="right" vertical="center"/>
    </xf>
    <xf numFmtId="1" fontId="0" fillId="0" borderId="0" xfId="0" applyNumberFormat="1" applyAlignment="1">
      <alignment horizontal="right"/>
    </xf>
    <xf numFmtId="9" fontId="25" fillId="0" borderId="10" xfId="7" applyFont="1" applyBorder="1" applyAlignment="1">
      <alignment horizontal="right" vertical="center"/>
    </xf>
    <xf numFmtId="167" fontId="25" fillId="0" borderId="123" xfId="7" applyNumberFormat="1" applyFont="1" applyBorder="1" applyAlignment="1">
      <alignment horizontal="right" vertical="center"/>
    </xf>
    <xf numFmtId="9" fontId="25" fillId="0" borderId="3" xfId="7" applyFont="1" applyBorder="1" applyAlignment="1">
      <alignment horizontal="right" vertical="center"/>
    </xf>
    <xf numFmtId="3" fontId="25" fillId="0" borderId="110" xfId="0" applyNumberFormat="1" applyFont="1" applyBorder="1" applyAlignment="1">
      <alignment horizontal="center"/>
    </xf>
    <xf numFmtId="3" fontId="25" fillId="0" borderId="190" xfId="0" applyNumberFormat="1" applyFont="1" applyBorder="1" applyAlignment="1">
      <alignment horizontal="center"/>
    </xf>
    <xf numFmtId="3" fontId="25" fillId="0" borderId="191" xfId="0" applyNumberFormat="1" applyFont="1" applyBorder="1" applyAlignment="1">
      <alignment horizontal="center"/>
    </xf>
    <xf numFmtId="4" fontId="25" fillId="0" borderId="192" xfId="0" applyNumberFormat="1" applyFont="1" applyFill="1" applyBorder="1" applyAlignment="1">
      <alignment horizontal="center"/>
    </xf>
    <xf numFmtId="4" fontId="25" fillId="0" borderId="193" xfId="0" applyNumberFormat="1" applyFont="1" applyFill="1" applyBorder="1" applyAlignment="1">
      <alignment horizontal="center"/>
    </xf>
    <xf numFmtId="3" fontId="25" fillId="0" borderId="23" xfId="0" applyNumberFormat="1" applyFont="1" applyBorder="1" applyAlignment="1">
      <alignment horizontal="center"/>
    </xf>
    <xf numFmtId="3" fontId="25" fillId="0" borderId="2" xfId="0" applyNumberFormat="1" applyFont="1" applyBorder="1" applyAlignment="1">
      <alignment horizontal="center"/>
    </xf>
    <xf numFmtId="3" fontId="25" fillId="0" borderId="50" xfId="0" applyNumberFormat="1" applyFont="1" applyBorder="1" applyAlignment="1">
      <alignment horizontal="center"/>
    </xf>
    <xf numFmtId="4" fontId="25" fillId="0" borderId="49" xfId="0" applyNumberFormat="1" applyFont="1" applyFill="1" applyBorder="1" applyAlignment="1">
      <alignment horizontal="center"/>
    </xf>
    <xf numFmtId="4" fontId="25" fillId="0" borderId="134" xfId="0" applyNumberFormat="1" applyFont="1" applyFill="1" applyBorder="1" applyAlignment="1">
      <alignment horizontal="center"/>
    </xf>
    <xf numFmtId="3" fontId="17" fillId="0" borderId="149" xfId="0" applyNumberFormat="1" applyFont="1" applyBorder="1" applyAlignment="1">
      <alignment horizontal="center"/>
    </xf>
    <xf numFmtId="3" fontId="17" fillId="0" borderId="94" xfId="0" applyNumberFormat="1" applyFont="1" applyBorder="1" applyAlignment="1">
      <alignment horizontal="center"/>
    </xf>
    <xf numFmtId="3" fontId="17" fillId="0" borderId="194" xfId="0" applyNumberFormat="1" applyFont="1" applyBorder="1" applyAlignment="1">
      <alignment horizontal="center"/>
    </xf>
    <xf numFmtId="4" fontId="17" fillId="0" borderId="195" xfId="0" applyNumberFormat="1" applyFont="1" applyFill="1" applyBorder="1" applyAlignment="1">
      <alignment horizontal="center"/>
    </xf>
    <xf numFmtId="4" fontId="17" fillId="0" borderId="196" xfId="0" applyNumberFormat="1" applyFont="1" applyFill="1" applyBorder="1" applyAlignment="1">
      <alignment horizontal="center"/>
    </xf>
    <xf numFmtId="3" fontId="15" fillId="0" borderId="118" xfId="0" applyNumberFormat="1" applyFont="1" applyFill="1" applyBorder="1" applyAlignment="1">
      <alignment horizontal="center"/>
    </xf>
    <xf numFmtId="3" fontId="15" fillId="0" borderId="83" xfId="0" applyNumberFormat="1" applyFont="1" applyFill="1" applyBorder="1" applyAlignment="1">
      <alignment horizontal="center"/>
    </xf>
    <xf numFmtId="3" fontId="15" fillId="0" borderId="139" xfId="0" applyNumberFormat="1" applyFont="1" applyFill="1" applyBorder="1" applyAlignment="1">
      <alignment horizontal="center"/>
    </xf>
    <xf numFmtId="0" fontId="15" fillId="0" borderId="197" xfId="0" applyFont="1" applyBorder="1" applyAlignment="1">
      <alignment horizontal="center"/>
    </xf>
    <xf numFmtId="0" fontId="15" fillId="0" borderId="76" xfId="0" applyFont="1" applyBorder="1" applyAlignment="1">
      <alignment horizontal="center"/>
    </xf>
    <xf numFmtId="0" fontId="90" fillId="0" borderId="23" xfId="0" applyFont="1" applyBorder="1" applyAlignment="1">
      <alignment horizontal="center"/>
    </xf>
    <xf numFmtId="0" fontId="90" fillId="0" borderId="2" xfId="0" applyFont="1" applyBorder="1" applyAlignment="1">
      <alignment horizontal="center"/>
    </xf>
    <xf numFmtId="0" fontId="90" fillId="0" borderId="50" xfId="0" applyFont="1" applyBorder="1" applyAlignment="1">
      <alignment horizontal="center"/>
    </xf>
    <xf numFmtId="0" fontId="173" fillId="0" borderId="0" xfId="0" applyFont="1"/>
    <xf numFmtId="3" fontId="173" fillId="0" borderId="0" xfId="0" applyNumberFormat="1" applyFont="1"/>
    <xf numFmtId="0" fontId="0" fillId="0" borderId="7" xfId="0" applyBorder="1"/>
    <xf numFmtId="0" fontId="0" fillId="0" borderId="8" xfId="0" applyBorder="1"/>
    <xf numFmtId="0" fontId="0" fillId="9" borderId="8" xfId="0" applyFill="1" applyBorder="1"/>
    <xf numFmtId="0" fontId="0" fillId="0" borderId="9" xfId="0" applyBorder="1"/>
    <xf numFmtId="0" fontId="0" fillId="9" borderId="0" xfId="0" applyFill="1" applyBorder="1"/>
    <xf numFmtId="3" fontId="0" fillId="0" borderId="72" xfId="0" applyNumberFormat="1" applyBorder="1"/>
    <xf numFmtId="3" fontId="0" fillId="0" borderId="74" xfId="0" applyNumberFormat="1" applyBorder="1"/>
    <xf numFmtId="0" fontId="0" fillId="0" borderId="75" xfId="0" applyBorder="1"/>
    <xf numFmtId="0" fontId="0" fillId="0" borderId="76" xfId="0" applyBorder="1"/>
    <xf numFmtId="1" fontId="34" fillId="0" borderId="24" xfId="0" applyNumberFormat="1" applyFont="1" applyBorder="1" applyAlignment="1">
      <alignment horizontal="center" vertical="center"/>
    </xf>
    <xf numFmtId="3" fontId="118" fillId="0" borderId="1" xfId="0" applyNumberFormat="1" applyFont="1" applyBorder="1"/>
    <xf numFmtId="3" fontId="124" fillId="0" borderId="1" xfId="0" applyNumberFormat="1" applyFont="1" applyBorder="1"/>
    <xf numFmtId="166" fontId="34" fillId="0" borderId="12" xfId="0" applyNumberFormat="1" applyFont="1" applyBorder="1" applyAlignment="1">
      <alignment horizontal="right" vertical="center"/>
    </xf>
    <xf numFmtId="166" fontId="34" fillId="0" borderId="33" xfId="0" applyNumberFormat="1" applyFont="1" applyBorder="1" applyAlignment="1">
      <alignment horizontal="right" vertical="center"/>
    </xf>
    <xf numFmtId="181" fontId="17" fillId="11" borderId="33" xfId="0" applyNumberFormat="1" applyFont="1" applyFill="1" applyBorder="1"/>
    <xf numFmtId="3" fontId="15" fillId="11" borderId="12" xfId="0" applyNumberFormat="1" applyFont="1" applyFill="1" applyBorder="1"/>
    <xf numFmtId="0" fontId="34" fillId="0" borderId="7" xfId="0" applyFont="1" applyBorder="1" applyAlignment="1">
      <alignment horizontal="left"/>
    </xf>
    <xf numFmtId="0" fontId="34" fillId="0" borderId="72" xfId="0" applyFont="1" applyBorder="1" applyAlignment="1">
      <alignment horizontal="left"/>
    </xf>
    <xf numFmtId="0" fontId="34" fillId="0" borderId="97" xfId="0" applyFont="1" applyBorder="1" applyAlignment="1"/>
    <xf numFmtId="0" fontId="34" fillId="0" borderId="74" xfId="0" applyFont="1" applyFill="1" applyBorder="1" applyAlignment="1">
      <alignment horizontal="left"/>
    </xf>
    <xf numFmtId="0" fontId="66" fillId="0" borderId="1" xfId="0" applyFont="1" applyBorder="1" applyAlignment="1">
      <alignment horizontal="center" wrapText="1"/>
    </xf>
    <xf numFmtId="1" fontId="34" fillId="0" borderId="1" xfId="0" applyNumberFormat="1" applyFont="1" applyBorder="1" applyAlignment="1">
      <alignment horizontal="center" vertical="center"/>
    </xf>
    <xf numFmtId="4" fontId="65" fillId="3" borderId="0" xfId="4" applyNumberFormat="1" applyFill="1" applyAlignment="1" applyProtection="1">
      <alignment vertical="center"/>
    </xf>
    <xf numFmtId="0" fontId="160" fillId="0" borderId="11" xfId="4" applyFont="1" applyBorder="1" applyAlignment="1" applyProtection="1">
      <alignment vertical="center"/>
    </xf>
    <xf numFmtId="0" fontId="8" fillId="2" borderId="0" xfId="2">
      <alignment horizontal="right" vertical="center"/>
    </xf>
    <xf numFmtId="172" fontId="8" fillId="11" borderId="1" xfId="0" applyNumberFormat="1" applyFont="1" applyFill="1" applyBorder="1" applyAlignment="1">
      <alignment vertical="center"/>
    </xf>
    <xf numFmtId="3" fontId="34" fillId="0" borderId="1" xfId="0" applyNumberFormat="1" applyFont="1" applyBorder="1" applyAlignment="1">
      <alignment horizontal="right" vertical="center"/>
    </xf>
    <xf numFmtId="166" fontId="0" fillId="0" borderId="3" xfId="0" applyNumberFormat="1" applyBorder="1" applyAlignment="1">
      <alignment horizontal="right" vertical="center"/>
    </xf>
    <xf numFmtId="166" fontId="0" fillId="0" borderId="187" xfId="0" applyNumberFormat="1" applyBorder="1" applyAlignment="1">
      <alignment horizontal="right" vertical="center"/>
    </xf>
    <xf numFmtId="166" fontId="0" fillId="0" borderId="198" xfId="0" applyNumberFormat="1" applyBorder="1" applyAlignment="1">
      <alignment horizontal="right" vertical="center"/>
    </xf>
    <xf numFmtId="210" fontId="0" fillId="0" borderId="3" xfId="0" applyNumberFormat="1" applyBorder="1" applyAlignment="1">
      <alignment horizontal="right"/>
    </xf>
    <xf numFmtId="210" fontId="0" fillId="0" borderId="187" xfId="0" applyNumberFormat="1" applyBorder="1" applyAlignment="1">
      <alignment horizontal="right"/>
    </xf>
    <xf numFmtId="210" fontId="8" fillId="11" borderId="1" xfId="0" applyNumberFormat="1" applyFont="1" applyFill="1" applyBorder="1" applyAlignment="1">
      <alignment vertical="center"/>
    </xf>
    <xf numFmtId="210" fontId="34" fillId="0" borderId="1" xfId="0" applyNumberFormat="1" applyFont="1" applyBorder="1" applyAlignment="1">
      <alignment horizontal="right" vertical="center"/>
    </xf>
    <xf numFmtId="9" fontId="0" fillId="0" borderId="1" xfId="0" applyNumberFormat="1" applyBorder="1" applyAlignment="1">
      <alignment horizontal="right" vertical="center"/>
    </xf>
    <xf numFmtId="9" fontId="25" fillId="0" borderId="137" xfId="7" applyFont="1" applyBorder="1" applyAlignment="1">
      <alignment horizontal="right" vertical="center"/>
    </xf>
    <xf numFmtId="172" fontId="0" fillId="0" borderId="0" xfId="0" applyNumberFormat="1" applyAlignment="1">
      <alignment vertical="center"/>
    </xf>
    <xf numFmtId="212" fontId="21" fillId="0" borderId="199" xfId="0" applyNumberFormat="1" applyFont="1" applyBorder="1" applyAlignment="1">
      <alignment horizontal="center" vertical="center"/>
    </xf>
    <xf numFmtId="212" fontId="21" fillId="0" borderId="200" xfId="0" applyNumberFormat="1" applyFont="1" applyBorder="1" applyAlignment="1">
      <alignment horizontal="center" vertical="center"/>
    </xf>
    <xf numFmtId="212" fontId="21" fillId="0" borderId="12" xfId="0" applyNumberFormat="1" applyFont="1" applyBorder="1" applyAlignment="1">
      <alignment horizontal="center" vertical="center"/>
    </xf>
    <xf numFmtId="212" fontId="21" fillId="0" borderId="170" xfId="0" applyNumberFormat="1" applyFont="1" applyBorder="1" applyAlignment="1">
      <alignment horizontal="center" vertical="center"/>
    </xf>
    <xf numFmtId="212" fontId="21" fillId="0" borderId="201" xfId="0" applyNumberFormat="1" applyFont="1" applyBorder="1" applyAlignment="1">
      <alignment horizontal="center" vertical="center"/>
    </xf>
    <xf numFmtId="212" fontId="21" fillId="0" borderId="23" xfId="0" applyNumberFormat="1" applyFont="1" applyBorder="1" applyAlignment="1">
      <alignment horizontal="center" vertical="center"/>
    </xf>
    <xf numFmtId="212" fontId="21" fillId="0" borderId="33" xfId="0" applyNumberFormat="1" applyFont="1" applyBorder="1" applyAlignment="1">
      <alignment horizontal="center" vertical="center"/>
    </xf>
    <xf numFmtId="195" fontId="20" fillId="0" borderId="33" xfId="11" applyNumberFormat="1" applyFont="1" applyFill="1" applyBorder="1" applyAlignment="1">
      <alignment horizontal="center" vertical="center"/>
    </xf>
    <xf numFmtId="10" fontId="20" fillId="0" borderId="33" xfId="7" applyNumberFormat="1" applyFont="1" applyFill="1" applyBorder="1" applyAlignment="1">
      <alignment horizontal="center" vertical="center"/>
    </xf>
    <xf numFmtId="212" fontId="21" fillId="0" borderId="20" xfId="0" applyNumberFormat="1" applyFont="1" applyBorder="1" applyAlignment="1">
      <alignment horizontal="center" vertical="center"/>
    </xf>
    <xf numFmtId="212" fontId="21" fillId="0" borderId="13" xfId="0" applyNumberFormat="1" applyFont="1" applyBorder="1" applyAlignment="1">
      <alignment horizontal="center" vertical="center"/>
    </xf>
    <xf numFmtId="0" fontId="168" fillId="0" borderId="0" xfId="0" applyFont="1"/>
    <xf numFmtId="212" fontId="20" fillId="0" borderId="170" xfId="0" applyNumberFormat="1" applyFont="1" applyBorder="1" applyAlignment="1">
      <alignment horizontal="center" vertical="center"/>
    </xf>
    <xf numFmtId="212" fontId="20" fillId="0" borderId="201" xfId="0" applyNumberFormat="1" applyFont="1" applyBorder="1" applyAlignment="1">
      <alignment horizontal="center" vertical="center"/>
    </xf>
    <xf numFmtId="212" fontId="20" fillId="0" borderId="12" xfId="0" applyNumberFormat="1" applyFont="1" applyBorder="1" applyAlignment="1">
      <alignment horizontal="center" vertical="center"/>
    </xf>
    <xf numFmtId="180" fontId="8" fillId="2" borderId="31" xfId="0" applyNumberFormat="1" applyFont="1" applyFill="1" applyBorder="1" applyAlignment="1" applyProtection="1">
      <alignment vertical="center"/>
    </xf>
    <xf numFmtId="178" fontId="8" fillId="2" borderId="27" xfId="0" applyNumberFormat="1" applyFont="1" applyFill="1" applyBorder="1" applyAlignment="1" applyProtection="1">
      <alignment vertical="center"/>
    </xf>
    <xf numFmtId="179" fontId="8" fillId="2" borderId="28" xfId="0" applyNumberFormat="1" applyFont="1" applyFill="1" applyBorder="1" applyAlignment="1" applyProtection="1">
      <alignment vertical="center"/>
    </xf>
    <xf numFmtId="178" fontId="8" fillId="2" borderId="22" xfId="0" applyNumberFormat="1" applyFont="1" applyFill="1" applyBorder="1" applyAlignment="1" applyProtection="1">
      <alignment vertical="center"/>
    </xf>
    <xf numFmtId="179" fontId="8" fillId="2" borderId="43" xfId="0" applyNumberFormat="1" applyFont="1" applyFill="1" applyBorder="1" applyAlignment="1" applyProtection="1">
      <alignment vertical="center"/>
    </xf>
    <xf numFmtId="178" fontId="8" fillId="4" borderId="31" xfId="0" applyNumberFormat="1" applyFont="1" applyFill="1" applyBorder="1" applyAlignment="1" applyProtection="1">
      <alignment vertical="center"/>
    </xf>
    <xf numFmtId="178" fontId="8" fillId="4" borderId="57" xfId="0" applyNumberFormat="1" applyFont="1" applyFill="1" applyBorder="1" applyAlignment="1" applyProtection="1">
      <alignment vertical="center"/>
    </xf>
    <xf numFmtId="178" fontId="8" fillId="0" borderId="20" xfId="0" applyNumberFormat="1" applyFont="1" applyBorder="1" applyAlignment="1" applyProtection="1">
      <alignment vertical="center"/>
    </xf>
    <xf numFmtId="0" fontId="0" fillId="0" borderId="0" xfId="0" applyBorder="1" applyAlignment="1"/>
    <xf numFmtId="171" fontId="8" fillId="2" borderId="162" xfId="0" applyNumberFormat="1" applyFont="1" applyFill="1" applyBorder="1" applyAlignment="1" applyProtection="1">
      <alignment vertical="center"/>
      <protection locked="0"/>
    </xf>
    <xf numFmtId="2" fontId="2" fillId="0" borderId="24" xfId="6" applyFont="1" applyBorder="1">
      <alignment vertical="center" shrinkToFit="1"/>
      <protection locked="0"/>
    </xf>
    <xf numFmtId="2" fontId="2" fillId="0" borderId="34" xfId="6" applyFont="1" applyBorder="1">
      <alignment vertical="center" shrinkToFit="1"/>
      <protection locked="0"/>
    </xf>
    <xf numFmtId="2" fontId="2" fillId="0" borderId="1" xfId="6" applyFont="1" applyBorder="1">
      <alignment vertical="center" shrinkToFit="1"/>
      <protection locked="0"/>
    </xf>
    <xf numFmtId="0" fontId="34" fillId="0" borderId="12" xfId="0" applyFont="1" applyBorder="1" applyAlignment="1" applyProtection="1">
      <alignment vertical="center"/>
    </xf>
    <xf numFmtId="2" fontId="2" fillId="0" borderId="24" xfId="6" applyBorder="1">
      <alignment vertical="center" shrinkToFit="1"/>
      <protection locked="0"/>
    </xf>
    <xf numFmtId="2" fontId="2" fillId="0" borderId="34" xfId="6" applyBorder="1">
      <alignment vertical="center" shrinkToFit="1"/>
      <protection locked="0"/>
    </xf>
    <xf numFmtId="2" fontId="2" fillId="0" borderId="1" xfId="6" applyBorder="1">
      <alignment vertical="center" shrinkToFit="1"/>
      <protection locked="0"/>
    </xf>
    <xf numFmtId="171" fontId="8" fillId="4" borderId="4" xfId="0" applyNumberFormat="1" applyFont="1" applyFill="1" applyBorder="1" applyAlignment="1" applyProtection="1">
      <alignment horizontal="center" vertical="center"/>
    </xf>
    <xf numFmtId="171" fontId="8" fillId="4" borderId="13" xfId="0" applyNumberFormat="1" applyFont="1" applyFill="1" applyBorder="1" applyAlignment="1" applyProtection="1">
      <alignment horizontal="center" vertical="center"/>
    </xf>
    <xf numFmtId="14" fontId="15" fillId="3" borderId="0" xfId="0" applyNumberFormat="1" applyFont="1" applyFill="1" applyAlignment="1" applyProtection="1">
      <alignment horizontal="center" vertical="center"/>
      <protection locked="0"/>
    </xf>
    <xf numFmtId="0" fontId="34" fillId="0" borderId="24" xfId="0" applyFont="1" applyBorder="1" applyAlignment="1" applyProtection="1">
      <alignment horizontal="centerContinuous" vertical="center"/>
    </xf>
    <xf numFmtId="0" fontId="34" fillId="0" borderId="4" xfId="0" applyFont="1" applyBorder="1" applyAlignment="1" applyProtection="1">
      <alignment horizontal="centerContinuous" vertical="center"/>
    </xf>
    <xf numFmtId="2" fontId="34" fillId="0" borderId="1" xfId="6" applyFont="1" applyAlignment="1">
      <alignment horizontal="right" vertical="center" shrinkToFit="1"/>
      <protection locked="0"/>
    </xf>
    <xf numFmtId="2" fontId="34" fillId="0" borderId="1" xfId="6" applyFont="1">
      <alignment vertical="center" shrinkToFit="1"/>
      <protection locked="0"/>
    </xf>
    <xf numFmtId="171" fontId="8" fillId="4" borderId="10" xfId="0" applyNumberFormat="1" applyFont="1" applyFill="1" applyBorder="1" applyAlignment="1" applyProtection="1">
      <alignment horizontal="left" vertical="center"/>
    </xf>
    <xf numFmtId="0" fontId="15" fillId="0" borderId="1" xfId="0" applyFont="1" applyBorder="1" applyAlignment="1" applyProtection="1">
      <alignment vertical="center"/>
    </xf>
    <xf numFmtId="194" fontId="62" fillId="0" borderId="0" xfId="1" applyNumberFormat="1" applyFont="1" applyAlignment="1" applyProtection="1">
      <alignment horizontal="right"/>
    </xf>
    <xf numFmtId="0" fontId="62" fillId="0" borderId="0" xfId="0" applyFont="1" applyFill="1" applyBorder="1" applyAlignment="1" applyProtection="1">
      <alignment horizontal="right"/>
    </xf>
    <xf numFmtId="0" fontId="49" fillId="0" borderId="0" xfId="0" applyFont="1" applyAlignment="1" applyProtection="1">
      <alignment horizontal="left"/>
    </xf>
    <xf numFmtId="0" fontId="0" fillId="0" borderId="1" xfId="0" applyBorder="1" applyAlignment="1">
      <alignment horizontal="right" vertical="center" shrinkToFit="1"/>
    </xf>
    <xf numFmtId="0" fontId="132" fillId="0" borderId="0" xfId="0" applyFont="1"/>
    <xf numFmtId="167" fontId="0" fillId="0" borderId="0" xfId="7" applyNumberFormat="1" applyFont="1"/>
    <xf numFmtId="4" fontId="62" fillId="0" borderId="0" xfId="0" applyNumberFormat="1" applyFont="1" applyFill="1" applyBorder="1" applyAlignment="1">
      <alignment horizontal="center"/>
    </xf>
    <xf numFmtId="1" fontId="20" fillId="0" borderId="3" xfId="0" applyNumberFormat="1" applyFont="1" applyBorder="1"/>
    <xf numFmtId="3" fontId="34" fillId="0" borderId="0" xfId="0" applyNumberFormat="1" applyFont="1"/>
    <xf numFmtId="0" fontId="119" fillId="0" borderId="128" xfId="0" applyFont="1" applyBorder="1" applyAlignment="1">
      <alignment horizontal="center"/>
    </xf>
    <xf numFmtId="166" fontId="0" fillId="0" borderId="0" xfId="0" applyNumberFormat="1" applyAlignment="1" applyProtection="1">
      <alignment horizontal="center"/>
    </xf>
    <xf numFmtId="166" fontId="15" fillId="0" borderId="0" xfId="0" applyNumberFormat="1" applyFont="1" applyAlignment="1" applyProtection="1">
      <alignment horizontal="center" vertical="center"/>
    </xf>
    <xf numFmtId="166" fontId="17" fillId="0" borderId="0" xfId="0" applyNumberFormat="1" applyFont="1" applyAlignment="1" applyProtection="1">
      <alignment horizontal="center" vertical="center"/>
    </xf>
    <xf numFmtId="0" fontId="2" fillId="0" borderId="0" xfId="0" applyFont="1"/>
    <xf numFmtId="0" fontId="2" fillId="0" borderId="0" xfId="0" applyFont="1" applyAlignment="1">
      <alignment horizontal="right"/>
    </xf>
    <xf numFmtId="0" fontId="130" fillId="11" borderId="20" xfId="0" applyFont="1" applyFill="1" applyBorder="1" applyAlignment="1">
      <alignment horizontal="center"/>
    </xf>
    <xf numFmtId="0" fontId="130" fillId="11" borderId="33" xfId="0" applyFont="1" applyFill="1" applyBorder="1" applyAlignment="1">
      <alignment horizontal="center"/>
    </xf>
    <xf numFmtId="0" fontId="34" fillId="0" borderId="4" xfId="0" applyFont="1" applyBorder="1" applyAlignment="1" applyProtection="1">
      <alignment horizontal="right"/>
    </xf>
    <xf numFmtId="0" fontId="9" fillId="0" borderId="13" xfId="0" applyFont="1" applyBorder="1" applyAlignment="1" applyProtection="1">
      <alignment horizontal="center" vertical="center"/>
    </xf>
    <xf numFmtId="0" fontId="180" fillId="0" borderId="2" xfId="0" applyFont="1" applyBorder="1" applyAlignment="1" applyProtection="1">
      <alignment horizontal="center" vertical="center"/>
    </xf>
    <xf numFmtId="0" fontId="180" fillId="0" borderId="12" xfId="0" applyFont="1" applyBorder="1" applyAlignment="1" applyProtection="1">
      <alignment horizontal="center" vertical="center"/>
    </xf>
    <xf numFmtId="0" fontId="9" fillId="16" borderId="0" xfId="0" applyFont="1" applyFill="1" applyAlignment="1" applyProtection="1">
      <alignment horizontal="right" vertical="center"/>
    </xf>
    <xf numFmtId="0" fontId="175" fillId="0" borderId="0" xfId="0" applyFont="1" applyAlignment="1" applyProtection="1">
      <alignment horizontal="right" vertical="center"/>
    </xf>
    <xf numFmtId="0" fontId="9" fillId="16" borderId="0" xfId="0" applyFont="1" applyFill="1" applyAlignment="1" applyProtection="1">
      <alignment horizontal="left" vertical="center"/>
    </xf>
    <xf numFmtId="178" fontId="181" fillId="0" borderId="1" xfId="0" applyNumberFormat="1" applyFont="1" applyBorder="1" applyAlignment="1" applyProtection="1">
      <alignment horizontal="center" vertical="center"/>
    </xf>
    <xf numFmtId="0" fontId="9" fillId="0" borderId="34" xfId="0" applyFont="1" applyBorder="1" applyAlignment="1" applyProtection="1">
      <alignment horizontal="center" vertical="center"/>
    </xf>
    <xf numFmtId="0" fontId="40" fillId="0" borderId="24" xfId="0" applyFont="1" applyBorder="1" applyAlignment="1" applyProtection="1">
      <alignment horizontal="left" vertical="center"/>
    </xf>
    <xf numFmtId="0" fontId="9" fillId="0" borderId="10" xfId="0" applyFont="1" applyBorder="1" applyAlignment="1" applyProtection="1">
      <alignment horizontal="left" vertical="center"/>
    </xf>
    <xf numFmtId="167" fontId="180" fillId="0" borderId="15" xfId="7" applyNumberFormat="1" applyFont="1" applyFill="1" applyBorder="1" applyAlignment="1" applyProtection="1">
      <alignment horizontal="center" vertical="center"/>
    </xf>
    <xf numFmtId="0" fontId="180" fillId="0" borderId="96" xfId="0" applyFont="1" applyFill="1" applyBorder="1" applyAlignment="1" applyProtection="1">
      <alignment horizontal="center"/>
    </xf>
    <xf numFmtId="167" fontId="180" fillId="0" borderId="96" xfId="7" applyNumberFormat="1" applyFont="1" applyFill="1" applyBorder="1" applyAlignment="1" applyProtection="1">
      <alignment horizontal="center" vertical="center"/>
    </xf>
    <xf numFmtId="167" fontId="180" fillId="0" borderId="79" xfId="7" applyNumberFormat="1" applyFont="1" applyFill="1" applyBorder="1" applyAlignment="1" applyProtection="1">
      <alignment horizontal="center" vertical="center"/>
    </xf>
    <xf numFmtId="171" fontId="182" fillId="0" borderId="2" xfId="0" applyNumberFormat="1" applyFont="1" applyBorder="1" applyAlignment="1" applyProtection="1">
      <alignment horizontal="center" vertical="center"/>
    </xf>
    <xf numFmtId="171" fontId="183" fillId="4" borderId="2" xfId="0" applyNumberFormat="1" applyFont="1" applyFill="1" applyBorder="1" applyAlignment="1" applyProtection="1">
      <alignment horizontal="center" vertical="center"/>
    </xf>
    <xf numFmtId="0" fontId="184" fillId="9" borderId="0" xfId="0" applyFont="1" applyFill="1" applyAlignment="1" applyProtection="1">
      <alignment horizontal="center" vertical="center"/>
      <protection locked="0"/>
    </xf>
    <xf numFmtId="2" fontId="0" fillId="0" borderId="0" xfId="0" applyNumberFormat="1" applyBorder="1" applyAlignment="1" applyProtection="1">
      <alignment horizontal="center" vertical="center"/>
    </xf>
    <xf numFmtId="166" fontId="34" fillId="0" borderId="0" xfId="0" applyNumberFormat="1" applyFont="1" applyProtection="1"/>
    <xf numFmtId="166" fontId="34" fillId="0" borderId="0" xfId="0" applyNumberFormat="1" applyFont="1" applyBorder="1" applyAlignment="1" applyProtection="1">
      <alignment horizontal="left" vertical="center"/>
    </xf>
    <xf numFmtId="0" fontId="2" fillId="0" borderId="0" xfId="0" applyFont="1" applyBorder="1" applyAlignment="1" applyProtection="1">
      <alignment vertical="center"/>
    </xf>
    <xf numFmtId="3" fontId="174" fillId="0" borderId="20" xfId="0" applyNumberFormat="1" applyFont="1" applyBorder="1" applyAlignment="1">
      <alignment horizontal="right"/>
    </xf>
    <xf numFmtId="171" fontId="8" fillId="0" borderId="22" xfId="0" applyNumberFormat="1" applyFont="1" applyBorder="1" applyAlignment="1" applyProtection="1">
      <alignment horizontal="center" vertical="center"/>
    </xf>
    <xf numFmtId="0" fontId="0" fillId="0" borderId="1" xfId="0" applyBorder="1" applyAlignment="1" applyProtection="1">
      <alignment vertical="center"/>
    </xf>
    <xf numFmtId="171" fontId="8" fillId="11" borderId="28" xfId="0" applyNumberFormat="1" applyFont="1" applyFill="1" applyBorder="1" applyAlignment="1" applyProtection="1">
      <alignment vertical="center"/>
      <protection locked="0"/>
    </xf>
    <xf numFmtId="0" fontId="117" fillId="0" borderId="5" xfId="0" applyFont="1" applyBorder="1" applyAlignment="1" applyProtection="1">
      <alignment horizontal="left"/>
    </xf>
    <xf numFmtId="2" fontId="21" fillId="10" borderId="23" xfId="0" applyNumberFormat="1" applyFont="1" applyFill="1" applyBorder="1"/>
    <xf numFmtId="171" fontId="8" fillId="11" borderId="57" xfId="0" applyNumberFormat="1" applyFont="1" applyFill="1" applyBorder="1" applyAlignment="1" applyProtection="1">
      <alignment vertical="center"/>
    </xf>
    <xf numFmtId="0" fontId="185" fillId="0" borderId="0" xfId="0" applyFont="1"/>
    <xf numFmtId="9" fontId="0" fillId="0" borderId="0" xfId="7" applyFont="1" applyBorder="1"/>
    <xf numFmtId="9" fontId="0" fillId="0" borderId="0" xfId="0" applyNumberFormat="1" applyBorder="1"/>
    <xf numFmtId="200" fontId="0" fillId="0" borderId="0" xfId="0" applyNumberFormat="1"/>
    <xf numFmtId="9" fontId="0" fillId="0" borderId="6" xfId="7" applyFont="1" applyBorder="1"/>
    <xf numFmtId="200" fontId="34" fillId="0" borderId="124" xfId="0" applyNumberFormat="1" applyFont="1" applyBorder="1" applyAlignment="1">
      <alignment horizontal="center"/>
    </xf>
    <xf numFmtId="200" fontId="34" fillId="0" borderId="129" xfId="0" applyNumberFormat="1" applyFont="1" applyBorder="1" applyAlignment="1">
      <alignment horizontal="center"/>
    </xf>
    <xf numFmtId="200" fontId="34" fillId="0" borderId="125" xfId="0" applyNumberFormat="1" applyFont="1" applyBorder="1" applyAlignment="1">
      <alignment horizontal="center"/>
    </xf>
    <xf numFmtId="166" fontId="0" fillId="0" borderId="12" xfId="0" applyNumberFormat="1" applyBorder="1" applyAlignment="1">
      <alignment horizontal="center"/>
    </xf>
    <xf numFmtId="166" fontId="132" fillId="0" borderId="202" xfId="0" applyNumberFormat="1" applyFont="1" applyBorder="1" applyAlignment="1">
      <alignment horizontal="center"/>
    </xf>
    <xf numFmtId="0" fontId="40" fillId="4" borderId="0" xfId="0" applyFont="1" applyFill="1" applyBorder="1" applyAlignment="1" applyProtection="1">
      <alignment vertical="top"/>
    </xf>
    <xf numFmtId="0" fontId="15" fillId="0" borderId="72" xfId="0" applyFont="1" applyBorder="1" applyAlignment="1" applyProtection="1">
      <alignment vertical="center"/>
    </xf>
    <xf numFmtId="180" fontId="15" fillId="11" borderId="2" xfId="0" applyNumberFormat="1" applyFont="1" applyFill="1" applyBorder="1" applyAlignment="1" applyProtection="1">
      <alignment vertical="center"/>
    </xf>
    <xf numFmtId="0" fontId="6" fillId="0" borderId="75" xfId="0" applyFont="1" applyBorder="1" applyAlignment="1" applyProtection="1">
      <alignment vertical="center"/>
    </xf>
    <xf numFmtId="0" fontId="8" fillId="0" borderId="76" xfId="8" applyFont="1" applyFill="1" applyBorder="1" applyAlignment="1" applyProtection="1">
      <alignment horizontal="left" vertical="center"/>
    </xf>
    <xf numFmtId="180" fontId="6" fillId="0" borderId="82" xfId="7" applyNumberFormat="1" applyFont="1" applyBorder="1" applyAlignment="1" applyProtection="1">
      <alignment horizontal="right" vertical="center"/>
    </xf>
    <xf numFmtId="180" fontId="17" fillId="11" borderId="83" xfId="0" applyNumberFormat="1" applyFont="1" applyFill="1" applyBorder="1" applyAlignment="1" applyProtection="1">
      <alignment vertical="center"/>
    </xf>
    <xf numFmtId="180" fontId="6" fillId="11" borderId="82" xfId="7" applyNumberFormat="1" applyFont="1" applyFill="1" applyBorder="1" applyAlignment="1" applyProtection="1">
      <alignment horizontal="right" vertical="center"/>
    </xf>
    <xf numFmtId="170" fontId="15" fillId="0" borderId="75" xfId="0" applyNumberFormat="1" applyFont="1" applyBorder="1" applyAlignment="1" applyProtection="1">
      <alignment vertical="center"/>
    </xf>
    <xf numFmtId="180" fontId="6" fillId="0" borderId="76" xfId="7" applyNumberFormat="1" applyFont="1" applyBorder="1" applyAlignment="1" applyProtection="1">
      <alignment horizontal="right" vertical="center"/>
    </xf>
    <xf numFmtId="2" fontId="56" fillId="0" borderId="3" xfId="0" applyNumberFormat="1" applyFont="1" applyBorder="1" applyAlignment="1">
      <alignment vertical="center"/>
    </xf>
    <xf numFmtId="0" fontId="27" fillId="0" borderId="11" xfId="0" applyFont="1" applyBorder="1" applyAlignment="1">
      <alignment vertical="center"/>
    </xf>
    <xf numFmtId="0" fontId="39" fillId="9" borderId="10" xfId="0" applyFont="1" applyFill="1" applyBorder="1" applyAlignment="1">
      <alignment vertical="center"/>
    </xf>
    <xf numFmtId="0" fontId="58" fillId="9" borderId="4" xfId="0" applyFont="1" applyFill="1" applyBorder="1" applyAlignment="1">
      <alignment vertical="center"/>
    </xf>
    <xf numFmtId="0" fontId="39" fillId="9" borderId="4" xfId="0" applyFont="1" applyFill="1" applyBorder="1" applyAlignment="1">
      <alignment vertical="center"/>
    </xf>
    <xf numFmtId="3" fontId="54" fillId="9" borderId="4" xfId="0" applyNumberFormat="1" applyFont="1" applyFill="1" applyBorder="1" applyAlignment="1">
      <alignment horizontal="left" vertical="center"/>
    </xf>
    <xf numFmtId="3" fontId="54" fillId="9" borderId="4" xfId="0" applyNumberFormat="1" applyFont="1" applyFill="1" applyBorder="1" applyAlignment="1">
      <alignment vertical="center"/>
    </xf>
    <xf numFmtId="3" fontId="54" fillId="9" borderId="4" xfId="0" applyNumberFormat="1" applyFont="1" applyFill="1" applyBorder="1" applyAlignment="1">
      <alignment horizontal="right" vertical="center"/>
    </xf>
    <xf numFmtId="0" fontId="39" fillId="9" borderId="2" xfId="0" applyFont="1" applyFill="1" applyBorder="1" applyAlignment="1">
      <alignment vertical="center"/>
    </xf>
    <xf numFmtId="0" fontId="54" fillId="9" borderId="0" xfId="0" applyFont="1" applyFill="1" applyBorder="1" applyAlignment="1">
      <alignment vertical="center"/>
    </xf>
    <xf numFmtId="0" fontId="39" fillId="9" borderId="0" xfId="0" applyFont="1" applyFill="1" applyBorder="1" applyAlignment="1">
      <alignment vertical="center"/>
    </xf>
    <xf numFmtId="3" fontId="46" fillId="9" borderId="0" xfId="0" applyNumberFormat="1" applyFont="1" applyFill="1" applyBorder="1" applyAlignment="1">
      <alignment horizontal="center" vertical="center"/>
    </xf>
    <xf numFmtId="3" fontId="54" fillId="9" borderId="0" xfId="0" applyNumberFormat="1" applyFont="1" applyFill="1" applyBorder="1" applyAlignment="1">
      <alignment horizontal="right" vertical="center"/>
    </xf>
    <xf numFmtId="1" fontId="46" fillId="9" borderId="0" xfId="0" applyNumberFormat="1" applyFont="1" applyFill="1" applyBorder="1" applyAlignment="1">
      <alignment vertical="center"/>
    </xf>
    <xf numFmtId="0" fontId="57" fillId="9" borderId="4" xfId="0" applyFont="1" applyFill="1" applyBorder="1" applyAlignment="1">
      <alignment vertical="center"/>
    </xf>
    <xf numFmtId="0" fontId="59" fillId="9" borderId="4" xfId="0" applyFont="1" applyFill="1" applyBorder="1" applyAlignment="1">
      <alignment vertical="center"/>
    </xf>
    <xf numFmtId="0" fontId="55" fillId="9" borderId="4" xfId="0" applyFont="1" applyFill="1" applyBorder="1" applyAlignment="1">
      <alignment vertical="center"/>
    </xf>
    <xf numFmtId="0" fontId="55" fillId="9" borderId="4" xfId="0" applyFont="1" applyFill="1" applyBorder="1" applyAlignment="1">
      <alignment horizontal="left" vertical="center"/>
    </xf>
    <xf numFmtId="0" fontId="55" fillId="9" borderId="4" xfId="0" applyFont="1" applyFill="1" applyBorder="1" applyAlignment="1">
      <alignment horizontal="right" vertical="center"/>
    </xf>
    <xf numFmtId="0" fontId="37" fillId="9" borderId="4" xfId="0" applyFont="1" applyFill="1" applyBorder="1" applyAlignment="1">
      <alignment horizontal="right" vertical="center"/>
    </xf>
    <xf numFmtId="0" fontId="37" fillId="9" borderId="0" xfId="0" applyFont="1" applyFill="1" applyBorder="1" applyAlignment="1">
      <alignment vertical="center"/>
    </xf>
    <xf numFmtId="0" fontId="44" fillId="9" borderId="0" xfId="0" applyFont="1" applyFill="1" applyBorder="1" applyAlignment="1">
      <alignment vertical="center"/>
    </xf>
    <xf numFmtId="0" fontId="55" fillId="9" borderId="0" xfId="0" applyFont="1" applyFill="1" applyBorder="1" applyAlignment="1">
      <alignment vertical="center"/>
    </xf>
    <xf numFmtId="3" fontId="55" fillId="9" borderId="0" xfId="0" applyNumberFormat="1" applyFont="1" applyFill="1" applyBorder="1" applyAlignment="1">
      <alignment horizontal="center" vertical="center"/>
    </xf>
    <xf numFmtId="0" fontId="55" fillId="9" borderId="0" xfId="0" applyFont="1" applyFill="1" applyBorder="1" applyAlignment="1">
      <alignment horizontal="right" vertical="center"/>
    </xf>
    <xf numFmtId="0" fontId="57" fillId="9" borderId="0" xfId="0" applyFont="1" applyFill="1" applyBorder="1" applyAlignment="1">
      <alignment horizontal="right" vertical="center"/>
    </xf>
    <xf numFmtId="0" fontId="59" fillId="9" borderId="4" xfId="0" applyFont="1" applyFill="1" applyBorder="1" applyAlignment="1">
      <alignment horizontal="left" vertical="center"/>
    </xf>
    <xf numFmtId="0" fontId="44" fillId="9" borderId="0" xfId="0" applyFont="1" applyFill="1" applyBorder="1" applyAlignment="1">
      <alignment horizontal="left" vertical="center"/>
    </xf>
    <xf numFmtId="0" fontId="1" fillId="9" borderId="0" xfId="0" applyFont="1" applyFill="1"/>
    <xf numFmtId="0" fontId="60" fillId="9" borderId="4" xfId="0" applyFont="1" applyFill="1" applyBorder="1" applyAlignment="1">
      <alignment vertical="center"/>
    </xf>
    <xf numFmtId="0" fontId="57" fillId="9" borderId="0" xfId="0" applyFont="1" applyFill="1" applyBorder="1" applyAlignment="1">
      <alignment vertical="center"/>
    </xf>
    <xf numFmtId="0" fontId="4" fillId="4" borderId="0" xfId="0" applyFont="1" applyFill="1" applyBorder="1" applyAlignment="1" applyProtection="1">
      <alignment vertical="top"/>
    </xf>
    <xf numFmtId="0" fontId="48" fillId="0" borderId="0" xfId="0" applyFont="1" applyFill="1" applyBorder="1" applyAlignment="1">
      <alignment horizontal="left" vertical="center"/>
    </xf>
    <xf numFmtId="0" fontId="39" fillId="9" borderId="13" xfId="0" applyFont="1" applyFill="1" applyBorder="1" applyAlignment="1">
      <alignment vertical="center"/>
    </xf>
    <xf numFmtId="0" fontId="39" fillId="9" borderId="12" xfId="0" applyFont="1" applyFill="1" applyBorder="1" applyAlignment="1">
      <alignment vertical="center"/>
    </xf>
    <xf numFmtId="0" fontId="0" fillId="9" borderId="3" xfId="0" applyFill="1" applyBorder="1" applyAlignment="1">
      <alignment vertical="center"/>
    </xf>
    <xf numFmtId="0" fontId="0" fillId="9" borderId="5" xfId="0" applyFill="1" applyBorder="1" applyAlignment="1">
      <alignment vertical="center"/>
    </xf>
    <xf numFmtId="0" fontId="0" fillId="9" borderId="6" xfId="0" applyFill="1" applyBorder="1" applyAlignment="1">
      <alignment vertical="center"/>
    </xf>
    <xf numFmtId="0" fontId="2" fillId="0" borderId="24" xfId="0" applyFont="1" applyBorder="1" applyAlignment="1">
      <alignment horizontal="center" vertical="center"/>
    </xf>
    <xf numFmtId="0" fontId="176" fillId="0" borderId="0" xfId="0" applyFont="1" applyAlignment="1">
      <alignment vertical="center"/>
    </xf>
    <xf numFmtId="0" fontId="17" fillId="0" borderId="10" xfId="0" applyFont="1" applyBorder="1" applyAlignment="1">
      <alignment vertical="center"/>
    </xf>
    <xf numFmtId="0" fontId="17" fillId="0" borderId="3" xfId="0" applyFont="1" applyBorder="1" applyAlignment="1">
      <alignment vertical="center"/>
    </xf>
    <xf numFmtId="0" fontId="2" fillId="0" borderId="20" xfId="0" applyFont="1" applyBorder="1" applyAlignment="1" applyProtection="1">
      <alignment horizontal="right" vertical="center"/>
    </xf>
    <xf numFmtId="188" fontId="0" fillId="0" borderId="23" xfId="0" applyNumberFormat="1" applyBorder="1" applyAlignment="1" applyProtection="1">
      <alignment vertical="center"/>
    </xf>
    <xf numFmtId="188" fontId="0" fillId="0" borderId="33" xfId="0" applyNumberFormat="1" applyBorder="1" applyAlignment="1" applyProtection="1">
      <alignment vertical="center"/>
    </xf>
    <xf numFmtId="0" fontId="5" fillId="0" borderId="0" xfId="8" applyFont="1" applyBorder="1" applyAlignment="1" applyProtection="1">
      <alignment vertical="top"/>
    </xf>
    <xf numFmtId="3" fontId="17" fillId="0" borderId="50" xfId="0" applyNumberFormat="1" applyFont="1" applyBorder="1"/>
    <xf numFmtId="3" fontId="17" fillId="0" borderId="23" xfId="0" applyNumberFormat="1" applyFont="1" applyBorder="1" applyAlignment="1">
      <alignment horizontal="right"/>
    </xf>
    <xf numFmtId="3" fontId="15" fillId="0" borderId="5" xfId="0" applyNumberFormat="1" applyFont="1" applyBorder="1"/>
    <xf numFmtId="3" fontId="15" fillId="0" borderId="3" xfId="0" applyNumberFormat="1" applyFont="1" applyBorder="1"/>
    <xf numFmtId="3" fontId="15" fillId="0" borderId="54" xfId="0" applyNumberFormat="1" applyFont="1" applyBorder="1"/>
    <xf numFmtId="171" fontId="186" fillId="0" borderId="49" xfId="0" applyNumberFormat="1" applyFont="1" applyBorder="1"/>
    <xf numFmtId="171" fontId="186" fillId="11" borderId="2" xfId="0" applyNumberFormat="1" applyFont="1" applyFill="1" applyBorder="1"/>
    <xf numFmtId="171" fontId="186" fillId="0" borderId="23" xfId="0" applyNumberFormat="1" applyFont="1" applyBorder="1"/>
    <xf numFmtId="171" fontId="186" fillId="11" borderId="0" xfId="0" applyNumberFormat="1" applyFont="1" applyFill="1" applyBorder="1"/>
    <xf numFmtId="171" fontId="186" fillId="3" borderId="0" xfId="0" applyNumberFormat="1" applyFont="1" applyFill="1" applyBorder="1"/>
    <xf numFmtId="178" fontId="187" fillId="10" borderId="47" xfId="0" applyNumberFormat="1" applyFont="1" applyFill="1" applyBorder="1"/>
    <xf numFmtId="3" fontId="186" fillId="0" borderId="50" xfId="0" applyNumberFormat="1" applyFont="1" applyBorder="1"/>
    <xf numFmtId="180" fontId="186" fillId="0" borderId="51" xfId="0" applyNumberFormat="1" applyFont="1" applyBorder="1"/>
    <xf numFmtId="171" fontId="186" fillId="0" borderId="0" xfId="0" applyNumberFormat="1" applyFont="1" applyFill="1" applyBorder="1"/>
    <xf numFmtId="3" fontId="186" fillId="11" borderId="12" xfId="0" applyNumberFormat="1" applyFont="1" applyFill="1" applyBorder="1"/>
    <xf numFmtId="3" fontId="17" fillId="11" borderId="2" xfId="0" applyNumberFormat="1" applyFont="1" applyFill="1" applyBorder="1"/>
    <xf numFmtId="0" fontId="188" fillId="0" borderId="0" xfId="0" applyFont="1" applyBorder="1" applyAlignment="1">
      <alignment horizontal="right" vertical="center"/>
    </xf>
    <xf numFmtId="0" fontId="9" fillId="0" borderId="5" xfId="0" applyFont="1" applyBorder="1" applyAlignment="1">
      <alignment horizontal="right" vertical="center"/>
    </xf>
    <xf numFmtId="2" fontId="185" fillId="0" borderId="0" xfId="0" applyNumberFormat="1" applyFont="1" applyBorder="1" applyAlignment="1">
      <alignment vertical="center"/>
    </xf>
    <xf numFmtId="4" fontId="185" fillId="0" borderId="0" xfId="0" applyNumberFormat="1" applyFont="1" applyBorder="1" applyAlignment="1">
      <alignment vertical="center"/>
    </xf>
    <xf numFmtId="0" fontId="189" fillId="0" borderId="4" xfId="0" applyFont="1" applyBorder="1" applyAlignment="1">
      <alignment horizontal="right" vertical="center"/>
    </xf>
    <xf numFmtId="0" fontId="0" fillId="0" borderId="112" xfId="0" applyBorder="1" applyAlignment="1">
      <alignment vertical="center"/>
    </xf>
    <xf numFmtId="3" fontId="185" fillId="0" borderId="4" xfId="0" applyNumberFormat="1" applyFont="1" applyBorder="1" applyAlignment="1">
      <alignment vertical="center"/>
    </xf>
    <xf numFmtId="0" fontId="17" fillId="0" borderId="0" xfId="8" applyFont="1" applyBorder="1" applyAlignment="1" applyProtection="1">
      <alignment horizontal="right" vertical="top"/>
    </xf>
    <xf numFmtId="0" fontId="186" fillId="0" borderId="0" xfId="8" applyFont="1" applyBorder="1" applyAlignment="1" applyProtection="1">
      <alignment horizontal="right" vertical="center"/>
    </xf>
    <xf numFmtId="172" fontId="182" fillId="0" borderId="111" xfId="0" applyNumberFormat="1" applyFont="1" applyBorder="1" applyAlignment="1">
      <alignment vertical="center"/>
    </xf>
    <xf numFmtId="172" fontId="182" fillId="11" borderId="23" xfId="0" applyNumberFormat="1" applyFont="1" applyFill="1" applyBorder="1" applyAlignment="1">
      <alignment vertical="center"/>
    </xf>
    <xf numFmtId="172" fontId="182" fillId="0" borderId="112" xfId="0" applyNumberFormat="1" applyFont="1" applyBorder="1" applyAlignment="1">
      <alignment vertical="center"/>
    </xf>
    <xf numFmtId="2" fontId="187" fillId="0" borderId="1" xfId="6" applyFont="1">
      <alignment vertical="center" shrinkToFit="1"/>
      <protection locked="0"/>
    </xf>
    <xf numFmtId="186" fontId="182" fillId="0" borderId="112" xfId="0" applyNumberFormat="1" applyFont="1" applyBorder="1" applyAlignment="1">
      <alignment horizontal="center" vertical="center"/>
    </xf>
    <xf numFmtId="186" fontId="182" fillId="11" borderId="112" xfId="0" applyNumberFormat="1" applyFont="1" applyFill="1" applyBorder="1" applyAlignment="1">
      <alignment horizontal="center" vertical="center"/>
    </xf>
    <xf numFmtId="0" fontId="190" fillId="0" borderId="0" xfId="0" applyFont="1" applyProtection="1">
      <protection locked="0"/>
    </xf>
    <xf numFmtId="1" fontId="0" fillId="0" borderId="23" xfId="0" applyNumberFormat="1" applyBorder="1" applyProtection="1"/>
    <xf numFmtId="1" fontId="0" fillId="0" borderId="33" xfId="0" applyNumberFormat="1" applyBorder="1" applyProtection="1"/>
    <xf numFmtId="180" fontId="8" fillId="0" borderId="27" xfId="0" applyNumberFormat="1" applyFont="1" applyFill="1" applyBorder="1" applyAlignment="1" applyProtection="1">
      <alignment horizontal="right" vertical="center"/>
      <protection locked="0"/>
    </xf>
    <xf numFmtId="0" fontId="56" fillId="11" borderId="7" xfId="0" applyFont="1" applyFill="1" applyBorder="1" applyAlignment="1">
      <alignment horizontal="left" vertical="center"/>
    </xf>
    <xf numFmtId="0" fontId="56" fillId="11" borderId="8" xfId="0" applyFont="1" applyFill="1" applyBorder="1" applyAlignment="1">
      <alignment horizontal="left" vertical="center"/>
    </xf>
    <xf numFmtId="0" fontId="56" fillId="11" borderId="8" xfId="0" applyFont="1" applyFill="1" applyBorder="1" applyAlignment="1">
      <alignment horizontal="right" vertical="center"/>
    </xf>
    <xf numFmtId="2" fontId="2" fillId="11" borderId="8" xfId="0" applyNumberFormat="1" applyFont="1" applyFill="1" applyBorder="1" applyAlignment="1">
      <alignment horizontal="center" vertical="center"/>
    </xf>
    <xf numFmtId="2" fontId="27" fillId="11" borderId="8" xfId="0" applyNumberFormat="1" applyFont="1" applyFill="1" applyBorder="1" applyAlignment="1">
      <alignment horizontal="centerContinuous" vertical="center"/>
    </xf>
    <xf numFmtId="2" fontId="27" fillId="0" borderId="203" xfId="0" applyNumberFormat="1" applyFont="1" applyFill="1" applyBorder="1" applyAlignment="1">
      <alignment horizontal="center" vertical="center"/>
    </xf>
    <xf numFmtId="0" fontId="0" fillId="11" borderId="8" xfId="0" applyFill="1" applyBorder="1"/>
    <xf numFmtId="0" fontId="0" fillId="11" borderId="204" xfId="0" applyFill="1" applyBorder="1"/>
    <xf numFmtId="0" fontId="0" fillId="11" borderId="9" xfId="0" applyFill="1" applyBorder="1"/>
    <xf numFmtId="0" fontId="27" fillId="11" borderId="7" xfId="0" applyFont="1" applyFill="1" applyBorder="1" applyAlignment="1">
      <alignment vertical="center" wrapText="1"/>
    </xf>
    <xf numFmtId="0" fontId="27" fillId="11" borderId="8" xfId="0" applyFont="1" applyFill="1" applyBorder="1" applyAlignment="1">
      <alignment vertical="center" wrapText="1"/>
    </xf>
    <xf numFmtId="0" fontId="6" fillId="11" borderId="9" xfId="0" applyFont="1" applyFill="1" applyBorder="1" applyAlignment="1">
      <alignment horizontal="right" vertical="center" wrapText="1"/>
    </xf>
    <xf numFmtId="2" fontId="4" fillId="11" borderId="203" xfId="0" applyNumberFormat="1" applyFont="1" applyFill="1" applyBorder="1" applyAlignment="1">
      <alignment horizontal="center" vertical="center"/>
    </xf>
    <xf numFmtId="2" fontId="4" fillId="11" borderId="205" xfId="0" applyNumberFormat="1" applyFont="1" applyFill="1" applyBorder="1" applyAlignment="1">
      <alignment horizontal="centerContinuous" vertical="center" wrapText="1"/>
    </xf>
    <xf numFmtId="2" fontId="4" fillId="11" borderId="204" xfId="0" applyNumberFormat="1" applyFont="1" applyFill="1" applyBorder="1" applyAlignment="1">
      <alignment horizontal="centerContinuous" vertical="center" wrapText="1"/>
    </xf>
    <xf numFmtId="2" fontId="4" fillId="11" borderId="206" xfId="0" applyNumberFormat="1" applyFont="1" applyFill="1" applyBorder="1" applyAlignment="1">
      <alignment horizontal="centerContinuous" vertical="center" wrapText="1"/>
    </xf>
    <xf numFmtId="2" fontId="4" fillId="0" borderId="203" xfId="0" applyNumberFormat="1" applyFont="1" applyFill="1" applyBorder="1" applyAlignment="1">
      <alignment horizontal="centerContinuous" vertical="center" wrapText="1"/>
    </xf>
    <xf numFmtId="2" fontId="4" fillId="11" borderId="207" xfId="0" applyNumberFormat="1" applyFont="1" applyFill="1" applyBorder="1" applyAlignment="1">
      <alignment horizontal="centerContinuous" vertical="center" wrapText="1"/>
    </xf>
    <xf numFmtId="0" fontId="4" fillId="11" borderId="102" xfId="0" applyFont="1" applyFill="1" applyBorder="1" applyAlignment="1">
      <alignment vertical="center"/>
    </xf>
    <xf numFmtId="0" fontId="4" fillId="11" borderId="208" xfId="0" applyFont="1" applyFill="1" applyBorder="1" applyAlignment="1">
      <alignment vertical="center"/>
    </xf>
    <xf numFmtId="0" fontId="4" fillId="11" borderId="116" xfId="0" applyFont="1" applyFill="1" applyBorder="1" applyAlignment="1">
      <alignment horizontal="right" vertical="center"/>
    </xf>
    <xf numFmtId="2" fontId="4" fillId="11" borderId="66" xfId="0" applyNumberFormat="1" applyFont="1" applyFill="1" applyBorder="1" applyAlignment="1">
      <alignment horizontal="center" vertical="center" wrapText="1"/>
    </xf>
    <xf numFmtId="2" fontId="4" fillId="11" borderId="103" xfId="0" applyNumberFormat="1" applyFont="1" applyFill="1" applyBorder="1" applyAlignment="1">
      <alignment horizontal="center" vertical="center" wrapText="1"/>
    </xf>
    <xf numFmtId="2" fontId="4" fillId="11" borderId="68" xfId="0" applyNumberFormat="1" applyFont="1" applyFill="1" applyBorder="1" applyAlignment="1">
      <alignment horizontal="center" vertical="center" wrapText="1"/>
    </xf>
    <xf numFmtId="2" fontId="4" fillId="11" borderId="103" xfId="0" applyNumberFormat="1" applyFont="1" applyFill="1" applyBorder="1" applyAlignment="1">
      <alignment horizontal="center" vertical="center"/>
    </xf>
    <xf numFmtId="2" fontId="4" fillId="11" borderId="209" xfId="0" applyNumberFormat="1" applyFont="1" applyFill="1" applyBorder="1" applyAlignment="1">
      <alignment horizontal="center" vertical="center"/>
    </xf>
    <xf numFmtId="2" fontId="4" fillId="11" borderId="66" xfId="0" applyNumberFormat="1" applyFont="1" applyFill="1" applyBorder="1" applyAlignment="1">
      <alignment horizontal="center" vertical="center"/>
    </xf>
    <xf numFmtId="2" fontId="4" fillId="11" borderId="67" xfId="0" applyNumberFormat="1" applyFont="1" applyFill="1" applyBorder="1" applyAlignment="1">
      <alignment horizontal="center" vertical="center"/>
    </xf>
    <xf numFmtId="2" fontId="4" fillId="11" borderId="68" xfId="0" applyNumberFormat="1" applyFont="1" applyFill="1" applyBorder="1" applyAlignment="1">
      <alignment horizontal="center" vertical="center"/>
    </xf>
    <xf numFmtId="2" fontId="4" fillId="0" borderId="210" xfId="0" applyNumberFormat="1" applyFont="1" applyFill="1" applyBorder="1" applyAlignment="1">
      <alignment horizontal="center" vertical="center"/>
    </xf>
    <xf numFmtId="2" fontId="4" fillId="11" borderId="102" xfId="0" applyNumberFormat="1" applyFont="1" applyFill="1" applyBorder="1" applyAlignment="1">
      <alignment horizontal="center" vertical="center"/>
    </xf>
    <xf numFmtId="2" fontId="4" fillId="11" borderId="116" xfId="0" applyNumberFormat="1" applyFont="1" applyFill="1" applyBorder="1" applyAlignment="1">
      <alignment horizontal="center" vertical="center"/>
    </xf>
    <xf numFmtId="0" fontId="4" fillId="11" borderId="68" xfId="0" applyFont="1" applyFill="1" applyBorder="1" applyAlignment="1">
      <alignment horizontal="center" vertical="center"/>
    </xf>
    <xf numFmtId="0" fontId="4" fillId="11" borderId="116" xfId="0" applyFont="1" applyFill="1" applyBorder="1" applyAlignment="1">
      <alignment horizontal="center" vertical="center"/>
    </xf>
    <xf numFmtId="2" fontId="4" fillId="11" borderId="209" xfId="0" applyNumberFormat="1" applyFont="1" applyFill="1" applyBorder="1" applyAlignment="1">
      <alignment horizontal="center" vertical="center" wrapText="1"/>
    </xf>
    <xf numFmtId="0" fontId="6" fillId="11" borderId="72" xfId="0" applyFont="1" applyFill="1" applyBorder="1" applyAlignment="1">
      <alignment vertical="center"/>
    </xf>
    <xf numFmtId="0" fontId="6" fillId="11" borderId="0" xfId="0" applyFont="1" applyFill="1" applyBorder="1" applyAlignment="1">
      <alignment vertical="center"/>
    </xf>
    <xf numFmtId="0" fontId="6" fillId="11" borderId="73" xfId="0" applyFont="1" applyFill="1" applyBorder="1" applyAlignment="1">
      <alignment horizontal="right" vertical="center"/>
    </xf>
    <xf numFmtId="1" fontId="5" fillId="0" borderId="0" xfId="0" applyNumberFormat="1" applyFont="1" applyBorder="1" applyAlignment="1">
      <alignment horizontal="center" vertical="center"/>
    </xf>
    <xf numFmtId="1" fontId="5" fillId="0" borderId="23" xfId="0" applyNumberFormat="1" applyFont="1" applyBorder="1" applyAlignment="1">
      <alignment horizontal="center" vertical="center"/>
    </xf>
    <xf numFmtId="1" fontId="5" fillId="0" borderId="112" xfId="0" applyNumberFormat="1" applyFont="1" applyBorder="1" applyAlignment="1">
      <alignment horizontal="center" vertical="center"/>
    </xf>
    <xf numFmtId="1" fontId="5" fillId="0" borderId="111" xfId="0" applyNumberFormat="1" applyFont="1" applyBorder="1" applyAlignment="1">
      <alignment horizontal="center" vertical="center"/>
    </xf>
    <xf numFmtId="1" fontId="5" fillId="0" borderId="12" xfId="0" applyNumberFormat="1" applyFont="1" applyBorder="1" applyAlignment="1">
      <alignment horizontal="center" vertical="center"/>
    </xf>
    <xf numFmtId="1" fontId="5" fillId="0" borderId="210" xfId="0" applyNumberFormat="1" applyFont="1" applyBorder="1" applyAlignment="1">
      <alignment horizontal="center" vertical="center"/>
    </xf>
    <xf numFmtId="1" fontId="5" fillId="0" borderId="210" xfId="0" applyNumberFormat="1" applyFont="1" applyFill="1" applyBorder="1" applyAlignment="1">
      <alignment horizontal="center" vertical="center"/>
    </xf>
    <xf numFmtId="1" fontId="5" fillId="0" borderId="72" xfId="0" applyNumberFormat="1" applyFont="1" applyBorder="1" applyAlignment="1">
      <alignment horizontal="center" vertical="center"/>
    </xf>
    <xf numFmtId="1" fontId="5" fillId="0" borderId="73" xfId="0" applyNumberFormat="1" applyFont="1" applyBorder="1" applyAlignment="1">
      <alignment horizontal="center" vertical="center"/>
    </xf>
    <xf numFmtId="1" fontId="10" fillId="0" borderId="0" xfId="0" applyNumberFormat="1" applyFont="1" applyBorder="1" applyAlignment="1">
      <alignment horizontal="center" vertical="center"/>
    </xf>
    <xf numFmtId="1" fontId="10" fillId="0" borderId="23" xfId="0" applyNumberFormat="1" applyFont="1" applyBorder="1" applyAlignment="1">
      <alignment horizontal="center" vertical="center"/>
    </xf>
    <xf numFmtId="1" fontId="10" fillId="0" borderId="112" xfId="0" applyNumberFormat="1" applyFont="1" applyBorder="1" applyAlignment="1">
      <alignment horizontal="center" vertical="center"/>
    </xf>
    <xf numFmtId="1" fontId="10" fillId="0" borderId="111" xfId="0" applyNumberFormat="1" applyFont="1" applyBorder="1" applyAlignment="1">
      <alignment horizontal="center" vertical="center"/>
    </xf>
    <xf numFmtId="1" fontId="10" fillId="0" borderId="12" xfId="0" applyNumberFormat="1" applyFont="1" applyBorder="1" applyAlignment="1">
      <alignment horizontal="center" vertical="center"/>
    </xf>
    <xf numFmtId="1" fontId="10" fillId="0" borderId="210" xfId="0" applyNumberFormat="1" applyFont="1" applyBorder="1" applyAlignment="1">
      <alignment horizontal="center" vertical="center"/>
    </xf>
    <xf numFmtId="1" fontId="10" fillId="0" borderId="210" xfId="0" applyNumberFormat="1" applyFont="1" applyFill="1" applyBorder="1" applyAlignment="1">
      <alignment horizontal="center" vertical="center"/>
    </xf>
    <xf numFmtId="1" fontId="10" fillId="0" borderId="72" xfId="0" applyNumberFormat="1" applyFont="1" applyBorder="1" applyAlignment="1">
      <alignment horizontal="center" vertical="center"/>
    </xf>
    <xf numFmtId="1" fontId="10" fillId="0" borderId="73" xfId="0" applyNumberFormat="1" applyFont="1" applyBorder="1" applyAlignment="1">
      <alignment horizontal="center" vertical="center"/>
    </xf>
    <xf numFmtId="0" fontId="8" fillId="11" borderId="72" xfId="0" applyFont="1" applyFill="1" applyBorder="1" applyAlignment="1">
      <alignment vertical="center"/>
    </xf>
    <xf numFmtId="0" fontId="8" fillId="11" borderId="0" xfId="0" applyFont="1" applyFill="1" applyBorder="1" applyAlignment="1">
      <alignment vertical="center"/>
    </xf>
    <xf numFmtId="0" fontId="8" fillId="11" borderId="73" xfId="0" applyFont="1" applyFill="1" applyBorder="1" applyAlignment="1">
      <alignment horizontal="right" vertical="center"/>
    </xf>
    <xf numFmtId="1" fontId="5" fillId="11" borderId="72" xfId="0" applyNumberFormat="1" applyFont="1" applyFill="1" applyBorder="1" applyAlignment="1">
      <alignment vertical="center"/>
    </xf>
    <xf numFmtId="1" fontId="6" fillId="11" borderId="0" xfId="0" applyNumberFormat="1" applyFont="1" applyFill="1" applyBorder="1" applyAlignment="1">
      <alignment vertical="center"/>
    </xf>
    <xf numFmtId="1" fontId="6" fillId="11" borderId="73" xfId="0" applyNumberFormat="1" applyFont="1" applyFill="1" applyBorder="1" applyAlignment="1">
      <alignment horizontal="right" vertical="center"/>
    </xf>
    <xf numFmtId="3" fontId="5" fillId="0" borderId="0" xfId="0" applyNumberFormat="1" applyFont="1" applyBorder="1" applyAlignment="1">
      <alignment horizontal="center" vertical="center"/>
    </xf>
    <xf numFmtId="3" fontId="5" fillId="0" borderId="23" xfId="0" applyNumberFormat="1" applyFont="1" applyBorder="1" applyAlignment="1">
      <alignment horizontal="center" vertical="center"/>
    </xf>
    <xf numFmtId="3" fontId="5" fillId="0" borderId="112" xfId="0" applyNumberFormat="1" applyFont="1" applyBorder="1" applyAlignment="1">
      <alignment horizontal="center" vertical="center"/>
    </xf>
    <xf numFmtId="3" fontId="5" fillId="0" borderId="111" xfId="0" applyNumberFormat="1" applyFont="1" applyBorder="1" applyAlignment="1">
      <alignment horizontal="center" vertical="center"/>
    </xf>
    <xf numFmtId="3" fontId="5" fillId="0" borderId="12" xfId="0" applyNumberFormat="1" applyFont="1" applyBorder="1" applyAlignment="1">
      <alignment horizontal="center" vertical="center"/>
    </xf>
    <xf numFmtId="3" fontId="5" fillId="0" borderId="210" xfId="0" applyNumberFormat="1" applyFont="1" applyBorder="1" applyAlignment="1">
      <alignment horizontal="center" vertical="center"/>
    </xf>
    <xf numFmtId="3" fontId="5" fillId="0" borderId="210" xfId="0" applyNumberFormat="1" applyFont="1" applyFill="1" applyBorder="1" applyAlignment="1">
      <alignment horizontal="center" vertical="center"/>
    </xf>
    <xf numFmtId="3" fontId="5" fillId="0" borderId="72" xfId="0" applyNumberFormat="1" applyFont="1" applyBorder="1" applyAlignment="1">
      <alignment horizontal="center" vertical="center"/>
    </xf>
    <xf numFmtId="3" fontId="5" fillId="0" borderId="73" xfId="0" applyNumberFormat="1" applyFont="1" applyBorder="1" applyAlignment="1">
      <alignment horizontal="center" vertical="center"/>
    </xf>
    <xf numFmtId="1" fontId="5" fillId="11" borderId="74" xfId="0" applyNumberFormat="1" applyFont="1" applyFill="1" applyBorder="1" applyAlignment="1">
      <alignment vertical="center"/>
    </xf>
    <xf numFmtId="1" fontId="8" fillId="11" borderId="75" xfId="0" applyNumberFormat="1" applyFont="1" applyFill="1" applyBorder="1" applyAlignment="1">
      <alignment vertical="center"/>
    </xf>
    <xf numFmtId="1" fontId="8" fillId="11" borderId="76" xfId="0" applyNumberFormat="1" applyFont="1" applyFill="1" applyBorder="1" applyAlignment="1">
      <alignment horizontal="right" vertical="center"/>
    </xf>
    <xf numFmtId="3" fontId="10" fillId="0" borderId="75" xfId="0" applyNumberFormat="1" applyFont="1" applyBorder="1" applyAlignment="1">
      <alignment horizontal="center" vertical="center"/>
    </xf>
    <xf numFmtId="3" fontId="10" fillId="0" borderId="118" xfId="0" applyNumberFormat="1" applyFont="1" applyBorder="1" applyAlignment="1">
      <alignment horizontal="center" vertical="center"/>
    </xf>
    <xf numFmtId="3" fontId="10" fillId="0" borderId="173" xfId="0" applyNumberFormat="1" applyFont="1" applyBorder="1" applyAlignment="1">
      <alignment horizontal="center" vertical="center"/>
    </xf>
    <xf numFmtId="3" fontId="10" fillId="0" borderId="153" xfId="0" applyNumberFormat="1" applyFont="1" applyBorder="1" applyAlignment="1">
      <alignment horizontal="center" vertical="center"/>
    </xf>
    <xf numFmtId="3" fontId="10" fillId="0" borderId="82" xfId="0" applyNumberFormat="1" applyFont="1" applyBorder="1" applyAlignment="1">
      <alignment horizontal="center" vertical="center"/>
    </xf>
    <xf numFmtId="3" fontId="10" fillId="0" borderId="211" xfId="0" applyNumberFormat="1" applyFont="1" applyBorder="1" applyAlignment="1">
      <alignment horizontal="center" vertical="center"/>
    </xf>
    <xf numFmtId="3" fontId="10" fillId="0" borderId="210"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6" xfId="0" applyNumberFormat="1" applyFont="1" applyBorder="1" applyAlignment="1">
      <alignment horizontal="center" vertical="center"/>
    </xf>
    <xf numFmtId="1" fontId="6" fillId="11" borderId="72" xfId="0" applyNumberFormat="1" applyFont="1" applyFill="1" applyBorder="1" applyAlignment="1">
      <alignment vertical="center"/>
    </xf>
    <xf numFmtId="1" fontId="6" fillId="0" borderId="72" xfId="0" applyNumberFormat="1" applyFont="1" applyFill="1" applyBorder="1" applyAlignment="1">
      <alignment vertical="center"/>
    </xf>
    <xf numFmtId="1" fontId="6" fillId="0" borderId="0" xfId="0" applyNumberFormat="1" applyFont="1" applyFill="1" applyBorder="1" applyAlignment="1">
      <alignment vertical="center"/>
    </xf>
    <xf numFmtId="1" fontId="6" fillId="0" borderId="0" xfId="0" applyNumberFormat="1" applyFont="1" applyFill="1" applyBorder="1" applyAlignment="1">
      <alignment horizontal="right" vertical="center"/>
    </xf>
    <xf numFmtId="1" fontId="5" fillId="0" borderId="0" xfId="0" applyNumberFormat="1" applyFont="1" applyFill="1" applyBorder="1" applyAlignment="1">
      <alignment horizontal="center" vertical="center"/>
    </xf>
    <xf numFmtId="1" fontId="5" fillId="0" borderId="73" xfId="0" applyNumberFormat="1" applyFont="1" applyFill="1" applyBorder="1" applyAlignment="1">
      <alignment horizontal="center" vertical="center"/>
    </xf>
    <xf numFmtId="1" fontId="5" fillId="0" borderId="111" xfId="0" applyNumberFormat="1" applyFont="1" applyFill="1" applyBorder="1" applyAlignment="1">
      <alignment horizontal="center" vertical="center"/>
    </xf>
    <xf numFmtId="1" fontId="5" fillId="0" borderId="72" xfId="0" applyNumberFormat="1" applyFont="1" applyFill="1" applyBorder="1" applyAlignment="1">
      <alignment horizontal="center" vertical="center"/>
    </xf>
    <xf numFmtId="1" fontId="5" fillId="0" borderId="23" xfId="0" applyNumberFormat="1" applyFont="1" applyFill="1" applyBorder="1" applyAlignment="1">
      <alignment horizontal="center" vertical="center"/>
    </xf>
    <xf numFmtId="1" fontId="5" fillId="0" borderId="112" xfId="0" applyNumberFormat="1" applyFont="1" applyFill="1" applyBorder="1" applyAlignment="1">
      <alignment horizontal="center" vertical="center"/>
    </xf>
    <xf numFmtId="1" fontId="8" fillId="11" borderId="7" xfId="8" applyNumberFormat="1" applyFont="1" applyFill="1" applyBorder="1" applyAlignment="1" applyProtection="1">
      <alignment vertical="center"/>
    </xf>
    <xf numFmtId="1" fontId="8" fillId="11" borderId="8" xfId="8" applyNumberFormat="1" applyFont="1" applyFill="1" applyBorder="1" applyAlignment="1" applyProtection="1">
      <alignment vertical="center"/>
    </xf>
    <xf numFmtId="1" fontId="8" fillId="11" borderId="9" xfId="0" applyNumberFormat="1" applyFont="1" applyFill="1" applyBorder="1" applyAlignment="1">
      <alignment horizontal="right" vertical="center"/>
    </xf>
    <xf numFmtId="1" fontId="10" fillId="0" borderId="8" xfId="0" applyNumberFormat="1" applyFont="1" applyBorder="1" applyAlignment="1">
      <alignment horizontal="center" vertical="center"/>
    </xf>
    <xf numFmtId="1" fontId="10" fillId="0" borderId="110" xfId="0" applyNumberFormat="1" applyFont="1" applyBorder="1" applyAlignment="1">
      <alignment horizontal="center" vertical="center"/>
    </xf>
    <xf numFmtId="1" fontId="10" fillId="0" borderId="142" xfId="0" applyNumberFormat="1" applyFont="1" applyBorder="1" applyAlignment="1">
      <alignment horizontal="center" vertical="center"/>
    </xf>
    <xf numFmtId="1" fontId="10" fillId="0" borderId="109" xfId="0" applyNumberFormat="1" applyFont="1" applyBorder="1" applyAlignment="1">
      <alignment horizontal="center" vertical="center"/>
    </xf>
    <xf numFmtId="1" fontId="10" fillId="0" borderId="80" xfId="0" applyNumberFormat="1" applyFont="1" applyBorder="1" applyAlignment="1">
      <alignment horizontal="center" vertical="center"/>
    </xf>
    <xf numFmtId="1" fontId="10" fillId="0" borderId="203" xfId="0" applyNumberFormat="1" applyFont="1" applyBorder="1" applyAlignment="1">
      <alignment horizontal="center" vertical="center"/>
    </xf>
    <xf numFmtId="1" fontId="10" fillId="0" borderId="7" xfId="0" applyNumberFormat="1" applyFont="1" applyBorder="1" applyAlignment="1">
      <alignment horizontal="center" vertical="center"/>
    </xf>
    <xf numFmtId="1" fontId="10" fillId="0" borderId="9" xfId="0" applyNumberFormat="1" applyFont="1" applyBorder="1" applyAlignment="1">
      <alignment horizontal="center" vertical="center"/>
    </xf>
    <xf numFmtId="1" fontId="8" fillId="11" borderId="72" xfId="8" applyNumberFormat="1" applyFont="1" applyFill="1" applyBorder="1" applyAlignment="1">
      <alignment vertical="center"/>
    </xf>
    <xf numFmtId="1" fontId="8" fillId="11" borderId="0" xfId="8" applyNumberFormat="1" applyFont="1" applyFill="1" applyBorder="1" applyAlignment="1">
      <alignment vertical="center"/>
    </xf>
    <xf numFmtId="1" fontId="8" fillId="11" borderId="73" xfId="0" applyNumberFormat="1" applyFont="1" applyFill="1" applyBorder="1" applyAlignment="1">
      <alignment horizontal="right" vertical="center"/>
    </xf>
    <xf numFmtId="1" fontId="8" fillId="11" borderId="72" xfId="8" applyNumberFormat="1" applyFont="1" applyFill="1" applyBorder="1" applyAlignment="1" applyProtection="1">
      <alignment vertical="center"/>
    </xf>
    <xf numFmtId="1" fontId="8" fillId="11" borderId="0" xfId="8" applyNumberFormat="1" applyFont="1" applyFill="1" applyBorder="1" applyAlignment="1" applyProtection="1">
      <alignment vertical="center"/>
    </xf>
    <xf numFmtId="1" fontId="8" fillId="11" borderId="84" xfId="8" applyNumberFormat="1" applyFont="1" applyFill="1" applyBorder="1" applyAlignment="1" applyProtection="1">
      <alignment vertical="center"/>
    </xf>
    <xf numFmtId="1" fontId="8" fillId="11" borderId="5" xfId="8" applyNumberFormat="1" applyFont="1" applyFill="1" applyBorder="1" applyAlignment="1" applyProtection="1">
      <alignment vertical="center"/>
    </xf>
    <xf numFmtId="1" fontId="8" fillId="11" borderId="85" xfId="0" applyNumberFormat="1" applyFont="1" applyFill="1" applyBorder="1" applyAlignment="1">
      <alignment horizontal="right" vertical="center"/>
    </xf>
    <xf numFmtId="1" fontId="10" fillId="0" borderId="5" xfId="0" applyNumberFormat="1" applyFont="1" applyBorder="1" applyAlignment="1">
      <alignment horizontal="center" vertical="center"/>
    </xf>
    <xf numFmtId="1" fontId="10" fillId="0" borderId="33" xfId="0" applyNumberFormat="1" applyFont="1" applyBorder="1" applyAlignment="1">
      <alignment horizontal="center" vertical="center"/>
    </xf>
    <xf numFmtId="1" fontId="10" fillId="0" borderId="115" xfId="0" applyNumberFormat="1" applyFont="1" applyBorder="1" applyAlignment="1">
      <alignment horizontal="center" vertical="center"/>
    </xf>
    <xf numFmtId="1" fontId="10" fillId="0" borderId="114" xfId="0" applyNumberFormat="1" applyFont="1" applyBorder="1" applyAlignment="1">
      <alignment horizontal="center" vertical="center"/>
    </xf>
    <xf numFmtId="1" fontId="10" fillId="0" borderId="6" xfId="0" applyNumberFormat="1" applyFont="1" applyBorder="1" applyAlignment="1">
      <alignment horizontal="center" vertical="center"/>
    </xf>
    <xf numFmtId="1" fontId="10" fillId="0" borderId="212" xfId="0" applyNumberFormat="1" applyFont="1" applyBorder="1" applyAlignment="1">
      <alignment horizontal="center" vertical="center"/>
    </xf>
    <xf numFmtId="1" fontId="10" fillId="0" borderId="84" xfId="0" applyNumberFormat="1" applyFont="1" applyBorder="1" applyAlignment="1">
      <alignment horizontal="center" vertical="center"/>
    </xf>
    <xf numFmtId="1" fontId="10" fillId="0" borderId="85" xfId="0" applyNumberFormat="1" applyFont="1" applyBorder="1" applyAlignment="1">
      <alignment horizontal="center" vertical="center"/>
    </xf>
    <xf numFmtId="1" fontId="6" fillId="11" borderId="84" xfId="8" applyNumberFormat="1" applyFont="1" applyFill="1" applyBorder="1" applyAlignment="1" applyProtection="1">
      <alignment vertical="center"/>
    </xf>
    <xf numFmtId="1" fontId="6" fillId="11" borderId="5" xfId="8" applyNumberFormat="1" applyFont="1" applyFill="1" applyBorder="1" applyAlignment="1" applyProtection="1">
      <alignment vertical="center"/>
    </xf>
    <xf numFmtId="1" fontId="6" fillId="11" borderId="85" xfId="0" applyNumberFormat="1" applyFont="1" applyFill="1" applyBorder="1" applyAlignment="1">
      <alignment horizontal="right" vertical="center"/>
    </xf>
    <xf numFmtId="3" fontId="5" fillId="0" borderId="5" xfId="0" applyNumberFormat="1" applyFont="1" applyBorder="1" applyAlignment="1">
      <alignment horizontal="center" vertical="center"/>
    </xf>
    <xf numFmtId="3" fontId="5" fillId="0" borderId="33" xfId="0" applyNumberFormat="1" applyFont="1" applyBorder="1" applyAlignment="1">
      <alignment horizontal="center" vertical="center"/>
    </xf>
    <xf numFmtId="3" fontId="5" fillId="0" borderId="115" xfId="0" applyNumberFormat="1" applyFont="1" applyBorder="1" applyAlignment="1">
      <alignment horizontal="center" vertical="center"/>
    </xf>
    <xf numFmtId="3" fontId="5" fillId="0" borderId="114" xfId="0" applyNumberFormat="1" applyFont="1" applyBorder="1" applyAlignment="1">
      <alignment horizontal="center" vertical="center"/>
    </xf>
    <xf numFmtId="3" fontId="5" fillId="0" borderId="6" xfId="0" applyNumberFormat="1" applyFont="1" applyBorder="1" applyAlignment="1">
      <alignment horizontal="center" vertical="center"/>
    </xf>
    <xf numFmtId="3" fontId="5" fillId="0" borderId="212" xfId="0" applyNumberFormat="1" applyFont="1" applyBorder="1" applyAlignment="1">
      <alignment horizontal="center" vertical="center"/>
    </xf>
    <xf numFmtId="3" fontId="5" fillId="0" borderId="84" xfId="0" applyNumberFormat="1" applyFont="1" applyBorder="1" applyAlignment="1">
      <alignment horizontal="center" vertical="center"/>
    </xf>
    <xf numFmtId="3" fontId="5" fillId="0" borderId="85" xfId="0" applyNumberFormat="1" applyFont="1" applyBorder="1" applyAlignment="1">
      <alignment horizontal="center" vertical="center"/>
    </xf>
    <xf numFmtId="1" fontId="4" fillId="11" borderId="90" xfId="8" applyNumberFormat="1" applyFont="1" applyFill="1" applyBorder="1" applyAlignment="1" applyProtection="1">
      <alignment vertical="center"/>
    </xf>
    <xf numFmtId="1" fontId="4" fillId="11" borderId="11" xfId="8" applyNumberFormat="1" applyFont="1" applyFill="1" applyBorder="1" applyAlignment="1" applyProtection="1">
      <alignment vertical="center"/>
    </xf>
    <xf numFmtId="1" fontId="4" fillId="11" borderId="81" xfId="8" applyNumberFormat="1" applyFont="1" applyFill="1" applyBorder="1" applyAlignment="1" applyProtection="1">
      <alignment horizontal="right" vertical="center"/>
    </xf>
    <xf numFmtId="3" fontId="4" fillId="0" borderId="11" xfId="0" applyNumberFormat="1" applyFont="1" applyBorder="1" applyAlignment="1">
      <alignment horizontal="center" vertical="center"/>
    </xf>
    <xf numFmtId="3" fontId="4" fillId="0" borderId="1" xfId="0" applyNumberFormat="1" applyFont="1" applyBorder="1" applyAlignment="1">
      <alignment horizontal="center" vertical="center"/>
    </xf>
    <xf numFmtId="3" fontId="4" fillId="0" borderId="58" xfId="0" applyNumberFormat="1" applyFont="1" applyBorder="1" applyAlignment="1">
      <alignment horizontal="center" vertical="center"/>
    </xf>
    <xf numFmtId="3" fontId="4" fillId="0" borderId="59" xfId="0" applyNumberFormat="1" applyFont="1" applyBorder="1" applyAlignment="1">
      <alignment horizontal="center" vertical="center"/>
    </xf>
    <xf numFmtId="3" fontId="4" fillId="0" borderId="34" xfId="0" applyNumberFormat="1" applyFont="1" applyBorder="1" applyAlignment="1">
      <alignment horizontal="center" vertical="center"/>
    </xf>
    <xf numFmtId="3" fontId="4" fillId="0" borderId="213" xfId="0" applyNumberFormat="1" applyFont="1" applyBorder="1" applyAlignment="1">
      <alignment horizontal="center" vertical="center"/>
    </xf>
    <xf numFmtId="49" fontId="6" fillId="11" borderId="84" xfId="0" applyNumberFormat="1" applyFont="1" applyFill="1" applyBorder="1" applyAlignment="1">
      <alignment vertical="center"/>
    </xf>
    <xf numFmtId="49" fontId="6" fillId="11" borderId="5" xfId="0" applyNumberFormat="1" applyFont="1" applyFill="1" applyBorder="1" applyAlignment="1">
      <alignment vertical="center"/>
    </xf>
    <xf numFmtId="1" fontId="5" fillId="0" borderId="114" xfId="0" applyNumberFormat="1" applyFont="1" applyBorder="1" applyAlignment="1">
      <alignment horizontal="center" vertical="center"/>
    </xf>
    <xf numFmtId="1" fontId="5" fillId="0" borderId="6" xfId="0" applyNumberFormat="1" applyFont="1" applyBorder="1" applyAlignment="1">
      <alignment horizontal="center" vertical="center"/>
    </xf>
    <xf numFmtId="1" fontId="5" fillId="0" borderId="33" xfId="0" applyNumberFormat="1" applyFont="1" applyBorder="1" applyAlignment="1">
      <alignment horizontal="center" vertical="center"/>
    </xf>
    <xf numFmtId="1" fontId="5" fillId="0" borderId="212" xfId="0" applyNumberFormat="1" applyFont="1" applyBorder="1" applyAlignment="1">
      <alignment horizontal="center" vertical="center"/>
    </xf>
    <xf numFmtId="1" fontId="5" fillId="0" borderId="115" xfId="0" applyNumberFormat="1" applyFont="1" applyBorder="1" applyAlignment="1">
      <alignment horizontal="center" vertical="center"/>
    </xf>
    <xf numFmtId="1" fontId="5" fillId="0" borderId="85" xfId="0" applyNumberFormat="1" applyFont="1" applyBorder="1" applyAlignment="1">
      <alignment horizontal="center" vertical="center"/>
    </xf>
    <xf numFmtId="1" fontId="5" fillId="0" borderId="59" xfId="0" applyNumberFormat="1" applyFont="1" applyBorder="1" applyAlignment="1">
      <alignment horizontal="center" vertical="center"/>
    </xf>
    <xf numFmtId="1" fontId="5" fillId="0" borderId="1" xfId="0" applyNumberFormat="1" applyFont="1" applyBorder="1" applyAlignment="1">
      <alignment horizontal="center" vertical="center"/>
    </xf>
    <xf numFmtId="1" fontId="5" fillId="0" borderId="58" xfId="0" applyNumberFormat="1" applyFont="1" applyBorder="1" applyAlignment="1">
      <alignment horizontal="center" vertical="center"/>
    </xf>
    <xf numFmtId="49" fontId="6" fillId="11" borderId="90" xfId="8" applyNumberFormat="1" applyFont="1" applyFill="1" applyBorder="1" applyAlignment="1" applyProtection="1">
      <alignment vertical="center"/>
    </xf>
    <xf numFmtId="49" fontId="6" fillId="11" borderId="11" xfId="8" applyNumberFormat="1" applyFont="1" applyFill="1" applyBorder="1" applyAlignment="1" applyProtection="1">
      <alignment vertical="center"/>
    </xf>
    <xf numFmtId="1" fontId="8" fillId="11" borderId="81" xfId="0" applyNumberFormat="1" applyFont="1" applyFill="1" applyBorder="1" applyAlignment="1">
      <alignment horizontal="right" vertical="center"/>
    </xf>
    <xf numFmtId="1" fontId="10" fillId="0" borderId="11" xfId="0" applyNumberFormat="1" applyFont="1" applyBorder="1" applyAlignment="1">
      <alignment horizontal="center" vertical="center"/>
    </xf>
    <xf numFmtId="1" fontId="10" fillId="0" borderId="1" xfId="0" applyNumberFormat="1" applyFont="1" applyBorder="1" applyAlignment="1">
      <alignment horizontal="center" vertical="center"/>
    </xf>
    <xf numFmtId="1" fontId="10" fillId="0" borderId="58" xfId="0" applyNumberFormat="1" applyFont="1" applyBorder="1" applyAlignment="1">
      <alignment horizontal="center" vertical="center"/>
    </xf>
    <xf numFmtId="1" fontId="10" fillId="0" borderId="59" xfId="0" applyNumberFormat="1" applyFont="1" applyBorder="1" applyAlignment="1">
      <alignment horizontal="center" vertical="center"/>
    </xf>
    <xf numFmtId="1" fontId="10" fillId="0" borderId="34" xfId="0" applyNumberFormat="1" applyFont="1" applyBorder="1" applyAlignment="1">
      <alignment horizontal="center" vertical="center"/>
    </xf>
    <xf numFmtId="1" fontId="10" fillId="0" borderId="213" xfId="0" applyNumberFormat="1" applyFont="1" applyBorder="1" applyAlignment="1">
      <alignment horizontal="center" vertical="center"/>
    </xf>
    <xf numFmtId="1" fontId="10" fillId="0" borderId="90" xfId="0" applyNumberFormat="1" applyFont="1" applyBorder="1" applyAlignment="1">
      <alignment horizontal="center" vertical="center"/>
    </xf>
    <xf numFmtId="1" fontId="10" fillId="0" borderId="81" xfId="0" applyNumberFormat="1" applyFont="1" applyBorder="1" applyAlignment="1">
      <alignment horizontal="center" vertical="center"/>
    </xf>
    <xf numFmtId="1" fontId="4" fillId="11" borderId="72" xfId="8" applyNumberFormat="1" applyFont="1" applyFill="1" applyBorder="1" applyAlignment="1" applyProtection="1">
      <alignment vertical="center"/>
    </xf>
    <xf numFmtId="1" fontId="4" fillId="11" borderId="0" xfId="8" applyNumberFormat="1" applyFont="1" applyFill="1" applyBorder="1" applyAlignment="1" applyProtection="1">
      <alignment vertical="center"/>
    </xf>
    <xf numFmtId="1" fontId="4" fillId="11" borderId="73" xfId="8" applyNumberFormat="1" applyFont="1" applyFill="1" applyBorder="1" applyAlignment="1" applyProtection="1">
      <alignment horizontal="right" vertical="center"/>
    </xf>
    <xf numFmtId="3" fontId="4" fillId="11" borderId="0" xfId="0" applyNumberFormat="1" applyFont="1" applyFill="1" applyBorder="1" applyAlignment="1">
      <alignment horizontal="center" vertical="center"/>
    </xf>
    <xf numFmtId="3" fontId="4" fillId="11" borderId="23" xfId="0" applyNumberFormat="1" applyFont="1" applyFill="1" applyBorder="1" applyAlignment="1">
      <alignment horizontal="center" vertical="center"/>
    </xf>
    <xf numFmtId="3" fontId="4" fillId="11" borderId="112" xfId="0" applyNumberFormat="1" applyFont="1" applyFill="1" applyBorder="1" applyAlignment="1">
      <alignment horizontal="center" vertical="center"/>
    </xf>
    <xf numFmtId="3" fontId="4" fillId="11" borderId="111" xfId="0" applyNumberFormat="1" applyFont="1" applyFill="1" applyBorder="1" applyAlignment="1">
      <alignment horizontal="center" vertical="center"/>
    </xf>
    <xf numFmtId="3" fontId="4" fillId="11" borderId="12" xfId="0" applyNumberFormat="1" applyFont="1" applyFill="1" applyBorder="1" applyAlignment="1">
      <alignment horizontal="center" vertical="center"/>
    </xf>
    <xf numFmtId="3" fontId="4" fillId="11" borderId="210" xfId="0" applyNumberFormat="1" applyFont="1" applyFill="1" applyBorder="1" applyAlignment="1">
      <alignment horizontal="center" vertical="center"/>
    </xf>
    <xf numFmtId="3" fontId="4" fillId="0" borderId="210" xfId="0" applyNumberFormat="1" applyFont="1" applyFill="1" applyBorder="1" applyAlignment="1">
      <alignment horizontal="center" vertical="center"/>
    </xf>
    <xf numFmtId="3" fontId="4" fillId="11" borderId="72" xfId="0" applyNumberFormat="1" applyFont="1" applyFill="1" applyBorder="1" applyAlignment="1">
      <alignment horizontal="center" vertical="center"/>
    </xf>
    <xf numFmtId="3" fontId="4" fillId="11" borderId="73" xfId="0" applyNumberFormat="1" applyFont="1" applyFill="1" applyBorder="1" applyAlignment="1">
      <alignment horizontal="center" vertical="center"/>
    </xf>
    <xf numFmtId="1" fontId="9" fillId="11" borderId="72" xfId="8" applyNumberFormat="1" applyFont="1" applyFill="1" applyBorder="1" applyAlignment="1" applyProtection="1">
      <alignment vertical="center"/>
    </xf>
    <xf numFmtId="1" fontId="9" fillId="11" borderId="0" xfId="8" applyNumberFormat="1" applyFont="1" applyFill="1" applyBorder="1" applyAlignment="1" applyProtection="1">
      <alignment vertical="center"/>
    </xf>
    <xf numFmtId="2" fontId="9" fillId="0" borderId="0" xfId="0" applyNumberFormat="1" applyFont="1" applyBorder="1" applyAlignment="1">
      <alignment horizontal="center" vertical="center"/>
    </xf>
    <xf numFmtId="2" fontId="9" fillId="0" borderId="23" xfId="0" applyNumberFormat="1" applyFont="1" applyBorder="1" applyAlignment="1">
      <alignment horizontal="center" vertical="center"/>
    </xf>
    <xf numFmtId="2" fontId="9" fillId="0" borderId="112" xfId="0" applyNumberFormat="1" applyFont="1" applyBorder="1" applyAlignment="1">
      <alignment horizontal="center" vertical="center"/>
    </xf>
    <xf numFmtId="2" fontId="9" fillId="0" borderId="111" xfId="0" applyNumberFormat="1" applyFont="1" applyBorder="1" applyAlignment="1">
      <alignment horizontal="center" vertical="center"/>
    </xf>
    <xf numFmtId="2" fontId="9" fillId="0" borderId="12" xfId="0" applyNumberFormat="1" applyFont="1" applyBorder="1" applyAlignment="1">
      <alignment horizontal="center" vertical="center"/>
    </xf>
    <xf numFmtId="2" fontId="9" fillId="0" borderId="210" xfId="0" applyNumberFormat="1" applyFont="1" applyBorder="1" applyAlignment="1">
      <alignment horizontal="center" vertical="center"/>
    </xf>
    <xf numFmtId="2" fontId="9" fillId="0" borderId="210" xfId="0" applyNumberFormat="1" applyFont="1" applyFill="1" applyBorder="1" applyAlignment="1">
      <alignment horizontal="center" vertical="center"/>
    </xf>
    <xf numFmtId="2" fontId="9" fillId="0" borderId="72" xfId="0" applyNumberFormat="1" applyFont="1" applyBorder="1" applyAlignment="1">
      <alignment horizontal="center" vertical="center"/>
    </xf>
    <xf numFmtId="2" fontId="9" fillId="0" borderId="73" xfId="0" applyNumberFormat="1" applyFont="1" applyBorder="1" applyAlignment="1">
      <alignment horizontal="center" vertical="center"/>
    </xf>
    <xf numFmtId="0" fontId="4" fillId="11" borderId="74" xfId="8" applyFont="1" applyFill="1" applyBorder="1" applyAlignment="1" applyProtection="1">
      <alignment vertical="center"/>
    </xf>
    <xf numFmtId="0" fontId="6" fillId="11" borderId="75" xfId="8" applyFont="1" applyFill="1" applyBorder="1" applyAlignment="1" applyProtection="1">
      <alignment vertical="center"/>
    </xf>
    <xf numFmtId="0" fontId="8" fillId="11" borderId="76" xfId="0" applyFont="1" applyFill="1" applyBorder="1" applyAlignment="1">
      <alignment horizontal="right" vertical="center"/>
    </xf>
    <xf numFmtId="2" fontId="9" fillId="0" borderId="75" xfId="0" applyNumberFormat="1" applyFont="1" applyBorder="1" applyAlignment="1">
      <alignment horizontal="center" vertical="center"/>
    </xf>
    <xf numFmtId="2" fontId="9" fillId="0" borderId="118" xfId="0" applyNumberFormat="1" applyFont="1" applyBorder="1" applyAlignment="1">
      <alignment horizontal="center" vertical="center"/>
    </xf>
    <xf numFmtId="2" fontId="9" fillId="0" borderId="173" xfId="0" applyNumberFormat="1" applyFont="1" applyBorder="1" applyAlignment="1">
      <alignment horizontal="center" vertical="center"/>
    </xf>
    <xf numFmtId="2" fontId="9" fillId="0" borderId="153" xfId="0" applyNumberFormat="1" applyFont="1" applyBorder="1" applyAlignment="1">
      <alignment horizontal="center" vertical="center"/>
    </xf>
    <xf numFmtId="2" fontId="9" fillId="0" borderId="82" xfId="0" applyNumberFormat="1" applyFont="1" applyBorder="1" applyAlignment="1">
      <alignment horizontal="center" vertical="center"/>
    </xf>
    <xf numFmtId="2" fontId="9" fillId="0" borderId="211" xfId="0" applyNumberFormat="1" applyFont="1" applyBorder="1" applyAlignment="1">
      <alignment horizontal="center" vertical="center"/>
    </xf>
    <xf numFmtId="2" fontId="9" fillId="0" borderId="74" xfId="0" applyNumberFormat="1" applyFont="1" applyBorder="1" applyAlignment="1">
      <alignment horizontal="center" vertical="center"/>
    </xf>
    <xf numFmtId="2" fontId="9" fillId="0" borderId="76" xfId="0" applyNumberFormat="1" applyFont="1" applyBorder="1" applyAlignment="1">
      <alignment horizontal="center" vertical="center"/>
    </xf>
    <xf numFmtId="0" fontId="4" fillId="0" borderId="72" xfId="8" applyFont="1" applyFill="1" applyBorder="1" applyAlignment="1" applyProtection="1">
      <alignment vertical="center"/>
    </xf>
    <xf numFmtId="0" fontId="4" fillId="0" borderId="0" xfId="8" applyFont="1" applyFill="1" applyBorder="1" applyAlignment="1" applyProtection="1">
      <alignmen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center" vertical="center"/>
    </xf>
    <xf numFmtId="2" fontId="9" fillId="0" borderId="73" xfId="0" applyNumberFormat="1" applyFont="1" applyFill="1" applyBorder="1" applyAlignment="1">
      <alignment horizontal="center" vertical="center"/>
    </xf>
    <xf numFmtId="2" fontId="9" fillId="0" borderId="111" xfId="0" applyNumberFormat="1" applyFont="1" applyFill="1" applyBorder="1" applyAlignment="1">
      <alignment horizontal="center" vertical="center"/>
    </xf>
    <xf numFmtId="2" fontId="9" fillId="0" borderId="72" xfId="0" applyNumberFormat="1" applyFont="1" applyFill="1" applyBorder="1" applyAlignment="1">
      <alignment horizontal="center" vertical="center"/>
    </xf>
    <xf numFmtId="2" fontId="9" fillId="0" borderId="23" xfId="0" applyNumberFormat="1" applyFont="1" applyFill="1" applyBorder="1" applyAlignment="1">
      <alignment horizontal="center" vertical="center"/>
    </xf>
    <xf numFmtId="2" fontId="9" fillId="0" borderId="112" xfId="0" applyNumberFormat="1" applyFont="1" applyFill="1" applyBorder="1" applyAlignment="1">
      <alignment horizontal="center" vertical="center"/>
    </xf>
    <xf numFmtId="0" fontId="6" fillId="11" borderId="102" xfId="8" applyFont="1" applyFill="1" applyBorder="1" applyAlignment="1" applyProtection="1">
      <alignment vertical="center"/>
    </xf>
    <xf numFmtId="0" fontId="6" fillId="11" borderId="208" xfId="8" applyFont="1" applyFill="1" applyBorder="1" applyAlignment="1" applyProtection="1">
      <alignment vertical="center"/>
    </xf>
    <xf numFmtId="0" fontId="6" fillId="11" borderId="116" xfId="0" applyFont="1" applyFill="1" applyBorder="1" applyAlignment="1">
      <alignment horizontal="right" vertical="center"/>
    </xf>
    <xf numFmtId="166" fontId="5" fillId="0" borderId="208" xfId="0" applyNumberFormat="1" applyFont="1" applyBorder="1" applyAlignment="1">
      <alignment horizontal="center" vertical="center"/>
    </xf>
    <xf numFmtId="166" fontId="5" fillId="0" borderId="67" xfId="0" applyNumberFormat="1" applyFont="1" applyBorder="1" applyAlignment="1">
      <alignment horizontal="center" vertical="center"/>
    </xf>
    <xf numFmtId="166" fontId="5" fillId="0" borderId="68" xfId="0" applyNumberFormat="1" applyFont="1" applyBorder="1" applyAlignment="1">
      <alignment horizontal="center" vertical="center"/>
    </xf>
    <xf numFmtId="166" fontId="5" fillId="0" borderId="66" xfId="0" applyNumberFormat="1" applyFont="1" applyBorder="1" applyAlignment="1">
      <alignment horizontal="center" vertical="center"/>
    </xf>
    <xf numFmtId="166" fontId="5" fillId="0" borderId="103" xfId="0" applyNumberFormat="1" applyFont="1" applyBorder="1" applyAlignment="1">
      <alignment horizontal="center" vertical="center"/>
    </xf>
    <xf numFmtId="166" fontId="5" fillId="0" borderId="209" xfId="0" applyNumberFormat="1" applyFont="1" applyBorder="1" applyAlignment="1">
      <alignment horizontal="center" vertical="center"/>
    </xf>
    <xf numFmtId="166" fontId="5" fillId="0" borderId="210" xfId="0" applyNumberFormat="1" applyFont="1" applyFill="1" applyBorder="1" applyAlignment="1">
      <alignment horizontal="center" vertical="center"/>
    </xf>
    <xf numFmtId="166" fontId="5" fillId="0" borderId="102" xfId="0" applyNumberFormat="1" applyFont="1" applyBorder="1" applyAlignment="1">
      <alignment horizontal="center" vertical="center"/>
    </xf>
    <xf numFmtId="166" fontId="5" fillId="0" borderId="116" xfId="0" applyNumberFormat="1" applyFont="1" applyBorder="1" applyAlignment="1">
      <alignment horizontal="center" vertical="center"/>
    </xf>
    <xf numFmtId="0" fontId="6" fillId="11" borderId="90" xfId="8" applyFont="1" applyFill="1" applyBorder="1" applyAlignment="1" applyProtection="1">
      <alignment vertical="center"/>
    </xf>
    <xf numFmtId="0" fontId="6" fillId="11" borderId="11" xfId="8" applyFont="1" applyFill="1" applyBorder="1" applyAlignment="1" applyProtection="1">
      <alignment vertical="center"/>
    </xf>
    <xf numFmtId="0" fontId="6" fillId="11" borderId="81" xfId="0" applyFont="1" applyFill="1" applyBorder="1" applyAlignment="1">
      <alignment horizontal="right" vertical="center"/>
    </xf>
    <xf numFmtId="1" fontId="5" fillId="0" borderId="11" xfId="0" applyNumberFormat="1" applyFont="1" applyBorder="1" applyAlignment="1">
      <alignment horizontal="center" vertical="center"/>
    </xf>
    <xf numFmtId="1" fontId="5" fillId="0" borderId="34" xfId="0" applyNumberFormat="1" applyFont="1" applyBorder="1" applyAlignment="1">
      <alignment horizontal="center" vertical="center"/>
    </xf>
    <xf numFmtId="1" fontId="5" fillId="0" borderId="213" xfId="0" applyNumberFormat="1" applyFont="1" applyBorder="1" applyAlignment="1">
      <alignment horizontal="center" vertical="center"/>
    </xf>
    <xf numFmtId="1" fontId="5" fillId="0" borderId="90" xfId="0" applyNumberFormat="1" applyFont="1" applyBorder="1" applyAlignment="1">
      <alignment horizontal="center" vertical="center"/>
    </xf>
    <xf numFmtId="1" fontId="5" fillId="0" borderId="81" xfId="0" applyNumberFormat="1" applyFont="1" applyBorder="1" applyAlignment="1">
      <alignment horizontal="center" vertical="center"/>
    </xf>
    <xf numFmtId="166" fontId="5" fillId="0" borderId="58" xfId="0" applyNumberFormat="1" applyFont="1" applyBorder="1" applyAlignment="1">
      <alignment horizontal="center" vertical="center"/>
    </xf>
    <xf numFmtId="213" fontId="8" fillId="11" borderId="0" xfId="8" applyNumberFormat="1" applyFont="1" applyFill="1" applyBorder="1" applyAlignment="1" applyProtection="1">
      <alignment vertical="center"/>
    </xf>
    <xf numFmtId="166" fontId="8" fillId="11" borderId="73" xfId="8" applyNumberFormat="1" applyFont="1" applyFill="1" applyBorder="1" applyAlignment="1" applyProtection="1">
      <alignment horizontal="right" vertical="center"/>
    </xf>
    <xf numFmtId="1" fontId="8" fillId="11" borderId="73" xfId="8" applyNumberFormat="1" applyFont="1" applyFill="1" applyBorder="1" applyAlignment="1" applyProtection="1">
      <alignment horizontal="right" vertical="center"/>
    </xf>
    <xf numFmtId="0" fontId="6" fillId="11" borderId="81" xfId="8" applyFont="1" applyFill="1" applyBorder="1" applyAlignment="1" applyProtection="1">
      <alignment horizontal="right" vertical="center"/>
    </xf>
    <xf numFmtId="3" fontId="6" fillId="0" borderId="11" xfId="0" applyNumberFormat="1" applyFont="1" applyBorder="1" applyAlignment="1">
      <alignment horizontal="center" vertical="center"/>
    </xf>
    <xf numFmtId="3" fontId="6" fillId="0" borderId="1" xfId="0" applyNumberFormat="1" applyFont="1" applyBorder="1" applyAlignment="1">
      <alignment horizontal="center" vertical="center"/>
    </xf>
    <xf numFmtId="3" fontId="6" fillId="0" borderId="58" xfId="0" applyNumberFormat="1" applyFont="1" applyBorder="1" applyAlignment="1">
      <alignment horizontal="center" vertical="center"/>
    </xf>
    <xf numFmtId="3" fontId="6" fillId="0" borderId="59" xfId="0" applyNumberFormat="1" applyFont="1" applyBorder="1" applyAlignment="1">
      <alignment horizontal="center" vertical="center"/>
    </xf>
    <xf numFmtId="3" fontId="6" fillId="0" borderId="34" xfId="0" applyNumberFormat="1" applyFont="1" applyBorder="1" applyAlignment="1">
      <alignment horizontal="center" vertical="center"/>
    </xf>
    <xf numFmtId="3" fontId="6" fillId="0" borderId="213" xfId="0" applyNumberFormat="1" applyFont="1" applyBorder="1" applyAlignment="1">
      <alignment horizontal="center" vertical="center"/>
    </xf>
    <xf numFmtId="3" fontId="6" fillId="0" borderId="210" xfId="0" applyNumberFormat="1" applyFont="1" applyFill="1" applyBorder="1" applyAlignment="1">
      <alignment horizontal="center" vertical="center"/>
    </xf>
    <xf numFmtId="3" fontId="6" fillId="0" borderId="90" xfId="0" applyNumberFormat="1" applyFont="1" applyBorder="1" applyAlignment="1">
      <alignment horizontal="center" vertical="center"/>
    </xf>
    <xf numFmtId="3" fontId="6" fillId="0" borderId="81" xfId="0" applyNumberFormat="1" applyFont="1" applyBorder="1" applyAlignment="1">
      <alignment horizontal="center" vertical="center"/>
    </xf>
    <xf numFmtId="0" fontId="6" fillId="0" borderId="72" xfId="8" applyFont="1" applyFill="1" applyBorder="1" applyAlignment="1" applyProtection="1">
      <alignment vertical="center"/>
    </xf>
    <xf numFmtId="0" fontId="6" fillId="0" borderId="0" xfId="8" applyFont="1" applyFill="1" applyBorder="1" applyAlignment="1" applyProtection="1">
      <alignment vertical="center"/>
    </xf>
    <xf numFmtId="0" fontId="6" fillId="0" borderId="0" xfId="8" applyFont="1" applyFill="1" applyBorder="1" applyAlignment="1" applyProtection="1">
      <alignment horizontal="right" vertical="center"/>
    </xf>
    <xf numFmtId="3" fontId="5" fillId="0" borderId="0" xfId="0" applyNumberFormat="1" applyFont="1" applyFill="1" applyBorder="1" applyAlignment="1">
      <alignment horizontal="center" vertical="center"/>
    </xf>
    <xf numFmtId="3" fontId="5" fillId="0" borderId="73" xfId="0" applyNumberFormat="1" applyFont="1" applyFill="1" applyBorder="1" applyAlignment="1">
      <alignment horizontal="center" vertical="center"/>
    </xf>
    <xf numFmtId="3" fontId="5" fillId="0" borderId="72" xfId="0" applyNumberFormat="1" applyFont="1" applyFill="1" applyBorder="1" applyAlignment="1">
      <alignment horizontal="center" vertical="center"/>
    </xf>
    <xf numFmtId="0" fontId="4" fillId="11" borderId="90" xfId="8" applyFont="1" applyFill="1" applyBorder="1" applyAlignment="1" applyProtection="1">
      <alignment vertical="center"/>
    </xf>
    <xf numFmtId="0" fontId="4" fillId="11" borderId="11" xfId="8" applyFont="1" applyFill="1" applyBorder="1" applyAlignment="1" applyProtection="1">
      <alignment vertical="center"/>
    </xf>
    <xf numFmtId="0" fontId="4" fillId="11" borderId="81" xfId="8" applyFont="1" applyFill="1" applyBorder="1" applyAlignment="1" applyProtection="1">
      <alignment horizontal="right" vertical="center"/>
    </xf>
    <xf numFmtId="3" fontId="4" fillId="0" borderId="90" xfId="0" applyNumberFormat="1" applyFont="1" applyBorder="1" applyAlignment="1">
      <alignment horizontal="center" vertical="center"/>
    </xf>
    <xf numFmtId="3" fontId="4" fillId="0" borderId="81" xfId="0" applyNumberFormat="1" applyFont="1" applyBorder="1" applyAlignment="1">
      <alignment horizontal="center" vertical="center"/>
    </xf>
    <xf numFmtId="0" fontId="177" fillId="11" borderId="90" xfId="8" applyFont="1" applyFill="1" applyBorder="1" applyAlignment="1" applyProtection="1">
      <alignment vertical="center"/>
    </xf>
    <xf numFmtId="0" fontId="177" fillId="11" borderId="11" xfId="8" applyFont="1" applyFill="1" applyBorder="1" applyAlignment="1" applyProtection="1">
      <alignment vertical="center"/>
    </xf>
    <xf numFmtId="0" fontId="177" fillId="11" borderId="81" xfId="8" applyFont="1" applyFill="1" applyBorder="1" applyAlignment="1" applyProtection="1">
      <alignment horizontal="right" vertical="center"/>
    </xf>
    <xf numFmtId="3" fontId="177" fillId="0" borderId="11" xfId="0" applyNumberFormat="1" applyFont="1" applyBorder="1" applyAlignment="1">
      <alignment horizontal="center" vertical="center"/>
    </xf>
    <xf numFmtId="3" fontId="177" fillId="0" borderId="1" xfId="0" applyNumberFormat="1" applyFont="1" applyBorder="1" applyAlignment="1">
      <alignment horizontal="center" vertical="center"/>
    </xf>
    <xf numFmtId="3" fontId="177" fillId="0" borderId="58" xfId="0" applyNumberFormat="1" applyFont="1" applyBorder="1" applyAlignment="1">
      <alignment horizontal="center" vertical="center"/>
    </xf>
    <xf numFmtId="3" fontId="177" fillId="0" borderId="59" xfId="0" applyNumberFormat="1" applyFont="1" applyBorder="1" applyAlignment="1">
      <alignment horizontal="center" vertical="center"/>
    </xf>
    <xf numFmtId="3" fontId="177" fillId="0" borderId="34" xfId="0" applyNumberFormat="1" applyFont="1" applyBorder="1" applyAlignment="1">
      <alignment horizontal="center" vertical="center"/>
    </xf>
    <xf numFmtId="3" fontId="177" fillId="0" borderId="213" xfId="0" applyNumberFormat="1" applyFont="1" applyBorder="1" applyAlignment="1">
      <alignment horizontal="center" vertical="center"/>
    </xf>
    <xf numFmtId="3" fontId="177" fillId="0" borderId="210" xfId="0" applyNumberFormat="1" applyFont="1" applyFill="1" applyBorder="1" applyAlignment="1">
      <alignment horizontal="center" vertical="center"/>
    </xf>
    <xf numFmtId="3" fontId="177" fillId="0" borderId="90" xfId="0" applyNumberFormat="1" applyFont="1" applyBorder="1" applyAlignment="1">
      <alignment horizontal="center" vertical="center"/>
    </xf>
    <xf numFmtId="3" fontId="177" fillId="0" borderId="81" xfId="0" applyNumberFormat="1" applyFont="1" applyBorder="1" applyAlignment="1">
      <alignment horizontal="center" vertical="center"/>
    </xf>
    <xf numFmtId="49" fontId="4" fillId="11" borderId="90" xfId="8" applyNumberFormat="1" applyFont="1" applyFill="1" applyBorder="1" applyAlignment="1" applyProtection="1">
      <alignment vertical="center"/>
    </xf>
    <xf numFmtId="49" fontId="4" fillId="11" borderId="11" xfId="8" applyNumberFormat="1" applyFont="1" applyFill="1" applyBorder="1" applyAlignment="1" applyProtection="1">
      <alignment vertical="center"/>
    </xf>
    <xf numFmtId="0" fontId="177" fillId="11" borderId="97" xfId="8" applyFont="1" applyFill="1" applyBorder="1" applyAlignment="1" applyProtection="1">
      <alignment vertical="center"/>
    </xf>
    <xf numFmtId="0" fontId="177" fillId="11" borderId="92" xfId="8" applyFont="1" applyFill="1" applyBorder="1" applyAlignment="1" applyProtection="1">
      <alignment vertical="center"/>
    </xf>
    <xf numFmtId="0" fontId="177" fillId="11" borderId="95" xfId="8" applyFont="1" applyFill="1" applyBorder="1" applyAlignment="1" applyProtection="1">
      <alignment horizontal="right" vertical="center"/>
    </xf>
    <xf numFmtId="3" fontId="177" fillId="0" borderId="92" xfId="0" applyNumberFormat="1" applyFont="1" applyBorder="1" applyAlignment="1">
      <alignment horizontal="center" vertical="center"/>
    </xf>
    <xf numFmtId="3" fontId="177" fillId="0" borderId="149" xfId="0" applyNumberFormat="1" applyFont="1" applyBorder="1" applyAlignment="1">
      <alignment horizontal="center" vertical="center"/>
    </xf>
    <xf numFmtId="3" fontId="177" fillId="0" borderId="150" xfId="0" applyNumberFormat="1" applyFont="1" applyBorder="1" applyAlignment="1">
      <alignment horizontal="center" vertical="center"/>
    </xf>
    <xf numFmtId="3" fontId="177" fillId="0" borderId="214" xfId="0" applyNumberFormat="1" applyFont="1" applyBorder="1" applyAlignment="1">
      <alignment horizontal="center" vertical="center"/>
    </xf>
    <xf numFmtId="3" fontId="177" fillId="0" borderId="93" xfId="0" applyNumberFormat="1" applyFont="1" applyBorder="1" applyAlignment="1">
      <alignment horizontal="center" vertical="center"/>
    </xf>
    <xf numFmtId="3" fontId="177" fillId="0" borderId="215" xfId="0" applyNumberFormat="1" applyFont="1" applyBorder="1" applyAlignment="1">
      <alignment horizontal="center" vertical="center"/>
    </xf>
    <xf numFmtId="3" fontId="177" fillId="0" borderId="97" xfId="0" applyNumberFormat="1" applyFont="1" applyBorder="1" applyAlignment="1">
      <alignment horizontal="center" vertical="center"/>
    </xf>
    <xf numFmtId="3" fontId="177" fillId="0" borderId="95" xfId="0" applyNumberFormat="1" applyFont="1" applyBorder="1" applyAlignment="1">
      <alignment horizontal="center" vertical="center"/>
    </xf>
    <xf numFmtId="0" fontId="177" fillId="11" borderId="72" xfId="8" applyFont="1" applyFill="1" applyBorder="1" applyAlignment="1" applyProtection="1">
      <alignment vertical="center"/>
    </xf>
    <xf numFmtId="0" fontId="177" fillId="11" borderId="0" xfId="8" applyFont="1" applyFill="1" applyBorder="1" applyAlignment="1" applyProtection="1">
      <alignment vertical="center"/>
    </xf>
    <xf numFmtId="0" fontId="177" fillId="11" borderId="73" xfId="0" applyFont="1" applyFill="1" applyBorder="1" applyAlignment="1">
      <alignment horizontal="right" vertical="center"/>
    </xf>
    <xf numFmtId="3" fontId="177" fillId="11" borderId="0" xfId="0" applyNumberFormat="1" applyFont="1" applyFill="1" applyBorder="1" applyAlignment="1">
      <alignment horizontal="center" vertical="center"/>
    </xf>
    <xf numFmtId="3" fontId="177" fillId="11" borderId="23" xfId="0" applyNumberFormat="1" applyFont="1" applyFill="1" applyBorder="1" applyAlignment="1">
      <alignment horizontal="center" vertical="center"/>
    </xf>
    <xf numFmtId="3" fontId="177" fillId="11" borderId="112" xfId="0" applyNumberFormat="1" applyFont="1" applyFill="1" applyBorder="1" applyAlignment="1">
      <alignment horizontal="center" vertical="center"/>
    </xf>
    <xf numFmtId="3" fontId="177" fillId="11" borderId="111" xfId="0" applyNumberFormat="1" applyFont="1" applyFill="1" applyBorder="1" applyAlignment="1">
      <alignment horizontal="center" vertical="center"/>
    </xf>
    <xf numFmtId="3" fontId="177" fillId="11" borderId="12" xfId="0" applyNumberFormat="1" applyFont="1" applyFill="1" applyBorder="1" applyAlignment="1">
      <alignment horizontal="center" vertical="center"/>
    </xf>
    <xf numFmtId="3" fontId="177" fillId="11" borderId="210" xfId="0" applyNumberFormat="1" applyFont="1" applyFill="1" applyBorder="1" applyAlignment="1">
      <alignment horizontal="center" vertical="center"/>
    </xf>
    <xf numFmtId="3" fontId="177" fillId="11" borderId="72" xfId="0" applyNumberFormat="1" applyFont="1" applyFill="1" applyBorder="1" applyAlignment="1">
      <alignment horizontal="center" vertical="center"/>
    </xf>
    <xf numFmtId="3" fontId="177" fillId="11" borderId="73" xfId="0" applyNumberFormat="1" applyFont="1" applyFill="1" applyBorder="1" applyAlignment="1">
      <alignment horizontal="center" vertical="center"/>
    </xf>
    <xf numFmtId="0" fontId="4" fillId="11" borderId="72" xfId="8" applyFont="1" applyFill="1" applyBorder="1" applyAlignment="1" applyProtection="1">
      <alignment vertical="center"/>
    </xf>
    <xf numFmtId="0" fontId="4" fillId="11" borderId="0" xfId="8" applyFont="1" applyFill="1" applyBorder="1" applyAlignment="1" applyProtection="1">
      <alignment vertical="center"/>
    </xf>
    <xf numFmtId="0" fontId="9" fillId="11" borderId="73" xfId="8" applyFont="1" applyFill="1" applyBorder="1" applyAlignment="1" applyProtection="1">
      <alignment horizontal="right" vertical="center"/>
    </xf>
    <xf numFmtId="166" fontId="9" fillId="0" borderId="23" xfId="0" applyNumberFormat="1" applyFont="1" applyBorder="1" applyAlignment="1">
      <alignment horizontal="center" vertical="center"/>
    </xf>
    <xf numFmtId="166" fontId="9" fillId="0" borderId="112" xfId="0" applyNumberFormat="1" applyFont="1" applyBorder="1" applyAlignment="1">
      <alignment horizontal="center" vertical="center"/>
    </xf>
    <xf numFmtId="166" fontId="9" fillId="0" borderId="111" xfId="0" applyNumberFormat="1" applyFont="1" applyBorder="1" applyAlignment="1">
      <alignment horizontal="center" vertical="center"/>
    </xf>
    <xf numFmtId="166" fontId="9" fillId="0" borderId="12" xfId="0" applyNumberFormat="1" applyFont="1" applyBorder="1" applyAlignment="1">
      <alignment horizontal="center" vertical="center"/>
    </xf>
    <xf numFmtId="166" fontId="9" fillId="0" borderId="0" xfId="0" applyNumberFormat="1" applyFont="1" applyBorder="1" applyAlignment="1">
      <alignment horizontal="center" vertical="center"/>
    </xf>
    <xf numFmtId="166" fontId="9" fillId="0" borderId="210" xfId="0" applyNumberFormat="1" applyFont="1" applyBorder="1" applyAlignment="1">
      <alignment horizontal="center" vertical="center"/>
    </xf>
    <xf numFmtId="166" fontId="9" fillId="0" borderId="210" xfId="0" applyNumberFormat="1" applyFont="1" applyFill="1" applyBorder="1" applyAlignment="1">
      <alignment horizontal="center" vertical="center"/>
    </xf>
    <xf numFmtId="166" fontId="9" fillId="0" borderId="72" xfId="0" applyNumberFormat="1" applyFont="1" applyBorder="1" applyAlignment="1">
      <alignment horizontal="center" vertical="center"/>
    </xf>
    <xf numFmtId="166" fontId="9" fillId="0" borderId="73" xfId="0" applyNumberFormat="1" applyFont="1" applyBorder="1" applyAlignment="1">
      <alignment horizontal="center" vertical="center"/>
    </xf>
    <xf numFmtId="49" fontId="4" fillId="11" borderId="72" xfId="8" applyNumberFormat="1" applyFont="1" applyFill="1" applyBorder="1" applyAlignment="1" applyProtection="1">
      <alignment vertical="center"/>
    </xf>
    <xf numFmtId="49" fontId="4" fillId="11" borderId="0" xfId="8" applyNumberFormat="1" applyFont="1" applyFill="1" applyBorder="1" applyAlignment="1" applyProtection="1">
      <alignment vertical="center"/>
    </xf>
    <xf numFmtId="0" fontId="4" fillId="11" borderId="72" xfId="0" applyFont="1" applyFill="1" applyBorder="1" applyAlignment="1">
      <alignment vertical="center"/>
    </xf>
    <xf numFmtId="0" fontId="4" fillId="11" borderId="0" xfId="0" applyFont="1" applyFill="1" applyBorder="1" applyAlignment="1">
      <alignment vertical="center"/>
    </xf>
    <xf numFmtId="0" fontId="4" fillId="11" borderId="73" xfId="8" applyFont="1" applyFill="1" applyBorder="1" applyAlignment="1" applyProtection="1">
      <alignment horizontal="right" vertical="center"/>
    </xf>
    <xf numFmtId="166" fontId="4" fillId="0" borderId="0" xfId="0" applyNumberFormat="1" applyFont="1" applyBorder="1" applyAlignment="1">
      <alignment horizontal="center" vertical="center"/>
    </xf>
    <xf numFmtId="166" fontId="4" fillId="0" borderId="23" xfId="0" applyNumberFormat="1" applyFont="1" applyBorder="1" applyAlignment="1">
      <alignment horizontal="center" vertical="center"/>
    </xf>
    <xf numFmtId="166" fontId="4" fillId="0" borderId="112" xfId="0" applyNumberFormat="1" applyFont="1" applyBorder="1" applyAlignment="1">
      <alignment horizontal="center" vertical="center"/>
    </xf>
    <xf numFmtId="0" fontId="68" fillId="11" borderId="72" xfId="8" applyFont="1" applyFill="1" applyBorder="1" applyAlignment="1" applyProtection="1">
      <alignment vertical="center"/>
    </xf>
    <xf numFmtId="0" fontId="68" fillId="11" borderId="0" xfId="8" applyFont="1" applyFill="1" applyBorder="1" applyAlignment="1" applyProtection="1">
      <alignment vertical="center"/>
    </xf>
    <xf numFmtId="0" fontId="77" fillId="11" borderId="73" xfId="0" applyFont="1" applyFill="1" applyBorder="1" applyAlignment="1">
      <alignment horizontal="right" vertical="center"/>
    </xf>
    <xf numFmtId="2" fontId="68" fillId="0" borderId="0" xfId="0" applyNumberFormat="1" applyFont="1" applyBorder="1" applyAlignment="1">
      <alignment horizontal="center" vertical="center"/>
    </xf>
    <xf numFmtId="2" fontId="68" fillId="0" borderId="23" xfId="0" applyNumberFormat="1" applyFont="1" applyBorder="1" applyAlignment="1">
      <alignment horizontal="center" vertical="center"/>
    </xf>
    <xf numFmtId="2" fontId="68" fillId="0" borderId="112" xfId="0" applyNumberFormat="1" applyFont="1" applyBorder="1" applyAlignment="1">
      <alignment horizontal="center" vertical="center"/>
    </xf>
    <xf numFmtId="2" fontId="68" fillId="0" borderId="111" xfId="0" applyNumberFormat="1" applyFont="1" applyBorder="1" applyAlignment="1">
      <alignment horizontal="center" vertical="center"/>
    </xf>
    <xf numFmtId="2" fontId="68" fillId="0" borderId="12" xfId="0" applyNumberFormat="1" applyFont="1" applyBorder="1" applyAlignment="1">
      <alignment horizontal="center" vertical="center"/>
    </xf>
    <xf numFmtId="2" fontId="68" fillId="0" borderId="210" xfId="0" applyNumberFormat="1" applyFont="1" applyBorder="1" applyAlignment="1">
      <alignment horizontal="center" vertical="center"/>
    </xf>
    <xf numFmtId="2" fontId="68" fillId="0" borderId="210" xfId="0" applyNumberFormat="1" applyFont="1" applyFill="1" applyBorder="1" applyAlignment="1">
      <alignment horizontal="center" vertical="center"/>
    </xf>
    <xf numFmtId="2" fontId="68" fillId="0" borderId="72" xfId="0" applyNumberFormat="1" applyFont="1" applyBorder="1" applyAlignment="1">
      <alignment horizontal="center" vertical="center"/>
    </xf>
    <xf numFmtId="2" fontId="68" fillId="0" borderId="73" xfId="0" applyNumberFormat="1" applyFont="1" applyBorder="1" applyAlignment="1">
      <alignment horizontal="center" vertical="center"/>
    </xf>
    <xf numFmtId="0" fontId="4" fillId="11" borderId="84" xfId="0" applyFont="1" applyFill="1" applyBorder="1" applyAlignment="1">
      <alignment vertical="center"/>
    </xf>
    <xf numFmtId="0" fontId="4" fillId="11" borderId="5" xfId="0" applyFont="1" applyFill="1" applyBorder="1" applyAlignment="1">
      <alignment vertical="center"/>
    </xf>
    <xf numFmtId="0" fontId="6" fillId="11" borderId="85" xfId="0" applyFont="1" applyFill="1" applyBorder="1" applyAlignment="1">
      <alignment horizontal="right" vertical="center"/>
    </xf>
    <xf numFmtId="2" fontId="4" fillId="0" borderId="114" xfId="0" applyNumberFormat="1" applyFont="1" applyBorder="1" applyAlignment="1">
      <alignment horizontal="center" vertical="center"/>
    </xf>
    <xf numFmtId="2" fontId="4" fillId="0" borderId="6" xfId="0" applyNumberFormat="1" applyFont="1" applyBorder="1" applyAlignment="1">
      <alignment horizontal="center" vertical="center"/>
    </xf>
    <xf numFmtId="2" fontId="4" fillId="0" borderId="115" xfId="0" applyNumberFormat="1" applyFont="1" applyBorder="1" applyAlignment="1">
      <alignment horizontal="center" vertical="center"/>
    </xf>
    <xf numFmtId="2" fontId="4" fillId="0" borderId="33" xfId="0" applyNumberFormat="1" applyFont="1" applyBorder="1" applyAlignment="1">
      <alignment horizontal="center" vertical="center"/>
    </xf>
    <xf numFmtId="2" fontId="4" fillId="0" borderId="212" xfId="0" applyNumberFormat="1" applyFont="1" applyBorder="1" applyAlignment="1">
      <alignment horizontal="center" vertical="center"/>
    </xf>
    <xf numFmtId="2" fontId="4" fillId="0" borderId="84" xfId="0" applyNumberFormat="1" applyFont="1" applyBorder="1" applyAlignment="1">
      <alignment horizontal="center" vertical="center"/>
    </xf>
    <xf numFmtId="2" fontId="4" fillId="0" borderId="85" xfId="0" applyNumberFormat="1" applyFont="1" applyBorder="1" applyAlignment="1">
      <alignment horizontal="center" vertical="center"/>
    </xf>
    <xf numFmtId="166" fontId="4" fillId="0" borderId="114" xfId="0" applyNumberFormat="1" applyFont="1" applyBorder="1" applyAlignment="1">
      <alignment horizontal="center" vertical="center"/>
    </xf>
    <xf numFmtId="166" fontId="4" fillId="0" borderId="33" xfId="0" applyNumberFormat="1" applyFont="1" applyBorder="1" applyAlignment="1">
      <alignment horizontal="center" vertical="center"/>
    </xf>
    <xf numFmtId="166" fontId="4" fillId="0" borderId="115" xfId="0" applyNumberFormat="1" applyFont="1" applyBorder="1" applyAlignment="1">
      <alignment horizontal="center" vertical="center"/>
    </xf>
    <xf numFmtId="166" fontId="4" fillId="0" borderId="6" xfId="0" applyNumberFormat="1" applyFont="1" applyBorder="1" applyAlignment="1">
      <alignment horizontal="center" vertical="center"/>
    </xf>
    <xf numFmtId="166" fontId="4" fillId="0" borderId="85" xfId="0" applyNumberFormat="1" applyFont="1" applyBorder="1" applyAlignment="1">
      <alignment horizontal="center" vertical="center"/>
    </xf>
    <xf numFmtId="166" fontId="4" fillId="0" borderId="212" xfId="0" applyNumberFormat="1" applyFont="1" applyBorder="1" applyAlignment="1">
      <alignment horizontal="center" vertical="center"/>
    </xf>
    <xf numFmtId="0" fontId="6" fillId="11" borderId="72" xfId="8" applyFont="1" applyFill="1" applyBorder="1" applyAlignment="1" applyProtection="1">
      <alignment vertical="center"/>
    </xf>
    <xf numFmtId="0" fontId="6" fillId="11" borderId="0" xfId="8" applyFont="1" applyFill="1" applyBorder="1" applyAlignment="1" applyProtection="1">
      <alignment vertical="center"/>
    </xf>
    <xf numFmtId="0" fontId="6" fillId="11" borderId="73" xfId="8" applyFont="1" applyFill="1" applyBorder="1" applyAlignment="1" applyProtection="1">
      <alignment horizontal="right" vertical="center"/>
    </xf>
    <xf numFmtId="2" fontId="5" fillId="0" borderId="0" xfId="0" applyNumberFormat="1" applyFont="1" applyBorder="1" applyAlignment="1">
      <alignment horizontal="center" vertical="center"/>
    </xf>
    <xf numFmtId="2" fontId="5" fillId="0" borderId="23" xfId="0" applyNumberFormat="1" applyFont="1" applyBorder="1" applyAlignment="1">
      <alignment horizontal="center" vertical="center"/>
    </xf>
    <xf numFmtId="2" fontId="5" fillId="0" borderId="112" xfId="0" applyNumberFormat="1" applyFont="1" applyBorder="1" applyAlignment="1">
      <alignment horizontal="center" vertical="center"/>
    </xf>
    <xf numFmtId="2" fontId="5" fillId="0" borderId="111" xfId="0" applyNumberFormat="1" applyFont="1" applyBorder="1" applyAlignment="1">
      <alignment horizontal="center" vertical="center"/>
    </xf>
    <xf numFmtId="2" fontId="5" fillId="0" borderId="12" xfId="0" applyNumberFormat="1" applyFont="1" applyBorder="1" applyAlignment="1">
      <alignment horizontal="center" vertical="center"/>
    </xf>
    <xf numFmtId="2" fontId="5" fillId="0" borderId="210" xfId="0" applyNumberFormat="1" applyFont="1" applyBorder="1" applyAlignment="1">
      <alignment horizontal="center" vertical="center"/>
    </xf>
    <xf numFmtId="2" fontId="5" fillId="0" borderId="210" xfId="0" applyNumberFormat="1" applyFont="1" applyFill="1" applyBorder="1" applyAlignment="1">
      <alignment horizontal="center" vertical="center"/>
    </xf>
    <xf numFmtId="2" fontId="5" fillId="0" borderId="72" xfId="0" applyNumberFormat="1" applyFont="1" applyBorder="1" applyAlignment="1">
      <alignment horizontal="center" vertical="center"/>
    </xf>
    <xf numFmtId="2" fontId="5" fillId="0" borderId="73" xfId="0" applyNumberFormat="1" applyFont="1" applyBorder="1" applyAlignment="1">
      <alignment horizontal="center" vertical="center"/>
    </xf>
    <xf numFmtId="0" fontId="6" fillId="11" borderId="84" xfId="8" applyFont="1" applyFill="1" applyBorder="1" applyAlignment="1" applyProtection="1">
      <alignment vertical="center"/>
    </xf>
    <xf numFmtId="0" fontId="6" fillId="11" borderId="5" xfId="8" applyFont="1" applyFill="1" applyBorder="1" applyAlignment="1" applyProtection="1">
      <alignment vertical="center"/>
    </xf>
    <xf numFmtId="0" fontId="6" fillId="11" borderId="85" xfId="8" applyFont="1" applyFill="1" applyBorder="1" applyAlignment="1" applyProtection="1">
      <alignment horizontal="right" vertical="center"/>
    </xf>
    <xf numFmtId="2" fontId="5" fillId="0" borderId="5" xfId="0" applyNumberFormat="1" applyFont="1" applyBorder="1" applyAlignment="1">
      <alignment horizontal="center" vertical="center"/>
    </xf>
    <xf numFmtId="2" fontId="5" fillId="0" borderId="33" xfId="0" applyNumberFormat="1" applyFont="1" applyBorder="1" applyAlignment="1">
      <alignment horizontal="center" vertical="center"/>
    </xf>
    <xf numFmtId="2" fontId="5" fillId="0" borderId="115" xfId="0" applyNumberFormat="1" applyFont="1" applyBorder="1" applyAlignment="1">
      <alignment horizontal="center" vertical="center"/>
    </xf>
    <xf numFmtId="2" fontId="5" fillId="0" borderId="114" xfId="0" applyNumberFormat="1" applyFont="1" applyBorder="1" applyAlignment="1">
      <alignment horizontal="center" vertical="center"/>
    </xf>
    <xf numFmtId="2" fontId="5" fillId="0" borderId="6" xfId="0" applyNumberFormat="1" applyFont="1" applyBorder="1" applyAlignment="1">
      <alignment horizontal="center" vertical="center"/>
    </xf>
    <xf numFmtId="2" fontId="5" fillId="0" borderId="212" xfId="0" applyNumberFormat="1" applyFont="1" applyBorder="1" applyAlignment="1">
      <alignment horizontal="center" vertical="center"/>
    </xf>
    <xf numFmtId="2" fontId="5" fillId="0" borderId="84" xfId="0" applyNumberFormat="1" applyFont="1" applyBorder="1" applyAlignment="1">
      <alignment horizontal="center" vertical="center"/>
    </xf>
    <xf numFmtId="2" fontId="5" fillId="0" borderId="85" xfId="0" applyNumberFormat="1" applyFont="1" applyBorder="1" applyAlignment="1">
      <alignment horizontal="center" vertical="center"/>
    </xf>
    <xf numFmtId="0" fontId="178" fillId="11" borderId="0" xfId="8" applyFont="1" applyFill="1" applyBorder="1" applyAlignment="1" applyProtection="1">
      <alignment vertical="center"/>
    </xf>
    <xf numFmtId="0" fontId="86" fillId="11" borderId="73" xfId="8" applyFont="1" applyFill="1" applyBorder="1" applyAlignment="1" applyProtection="1">
      <alignment horizontal="right" vertical="center"/>
    </xf>
    <xf numFmtId="2" fontId="179" fillId="11" borderId="0" xfId="0" applyNumberFormat="1" applyFont="1" applyFill="1" applyBorder="1" applyAlignment="1">
      <alignment horizontal="center" vertical="center"/>
    </xf>
    <xf numFmtId="2" fontId="179" fillId="11" borderId="23" xfId="0" applyNumberFormat="1" applyFont="1" applyFill="1" applyBorder="1" applyAlignment="1">
      <alignment horizontal="center" vertical="center"/>
    </xf>
    <xf numFmtId="2" fontId="179" fillId="11" borderId="112" xfId="0" applyNumberFormat="1" applyFont="1" applyFill="1" applyBorder="1" applyAlignment="1">
      <alignment horizontal="center" vertical="center"/>
    </xf>
    <xf numFmtId="2" fontId="179" fillId="11" borderId="111" xfId="0" applyNumberFormat="1" applyFont="1" applyFill="1" applyBorder="1" applyAlignment="1">
      <alignment horizontal="center" vertical="center"/>
    </xf>
    <xf numFmtId="2" fontId="179" fillId="11" borderId="12" xfId="0" applyNumberFormat="1" applyFont="1" applyFill="1" applyBorder="1" applyAlignment="1">
      <alignment horizontal="center" vertical="center"/>
    </xf>
    <xf numFmtId="2" fontId="179" fillId="11" borderId="210" xfId="0" applyNumberFormat="1" applyFont="1" applyFill="1" applyBorder="1" applyAlignment="1">
      <alignment horizontal="center" vertical="center"/>
    </xf>
    <xf numFmtId="2" fontId="179" fillId="0" borderId="210" xfId="0" applyNumberFormat="1" applyFont="1" applyFill="1" applyBorder="1" applyAlignment="1">
      <alignment horizontal="center" vertical="center"/>
    </xf>
    <xf numFmtId="2" fontId="179" fillId="11" borderId="72" xfId="0" applyNumberFormat="1" applyFont="1" applyFill="1" applyBorder="1" applyAlignment="1">
      <alignment horizontal="center" vertical="center"/>
    </xf>
    <xf numFmtId="2" fontId="179" fillId="11" borderId="73" xfId="0" applyNumberFormat="1" applyFont="1" applyFill="1" applyBorder="1" applyAlignment="1">
      <alignment horizontal="center" vertical="center"/>
    </xf>
    <xf numFmtId="0" fontId="4" fillId="11" borderId="75" xfId="8" applyFont="1" applyFill="1" applyBorder="1" applyAlignment="1" applyProtection="1">
      <alignment vertical="center"/>
    </xf>
    <xf numFmtId="2" fontId="10" fillId="11" borderId="75" xfId="0" applyNumberFormat="1" applyFont="1" applyFill="1" applyBorder="1" applyAlignment="1">
      <alignment horizontal="center" vertical="center"/>
    </xf>
    <xf numFmtId="2" fontId="10" fillId="11" borderId="118" xfId="0" applyNumberFormat="1" applyFont="1" applyFill="1" applyBorder="1" applyAlignment="1">
      <alignment horizontal="center" vertical="center"/>
    </xf>
    <xf numFmtId="2" fontId="10" fillId="11" borderId="173" xfId="0" applyNumberFormat="1" applyFont="1" applyFill="1" applyBorder="1" applyAlignment="1">
      <alignment horizontal="center" vertical="center"/>
    </xf>
    <xf numFmtId="2" fontId="10" fillId="11" borderId="153" xfId="0" applyNumberFormat="1" applyFont="1" applyFill="1" applyBorder="1" applyAlignment="1">
      <alignment horizontal="center" vertical="center"/>
    </xf>
    <xf numFmtId="2" fontId="10" fillId="11" borderId="82" xfId="0" applyNumberFormat="1" applyFont="1" applyFill="1" applyBorder="1" applyAlignment="1">
      <alignment horizontal="center" vertical="center"/>
    </xf>
    <xf numFmtId="2" fontId="10" fillId="11" borderId="211" xfId="0" applyNumberFormat="1" applyFont="1" applyFill="1" applyBorder="1" applyAlignment="1">
      <alignment horizontal="center" vertical="center"/>
    </xf>
    <xf numFmtId="2" fontId="10" fillId="0" borderId="210" xfId="0" applyNumberFormat="1" applyFont="1" applyFill="1" applyBorder="1" applyAlignment="1">
      <alignment horizontal="center" vertical="center"/>
    </xf>
    <xf numFmtId="2" fontId="10" fillId="11" borderId="74" xfId="0" applyNumberFormat="1" applyFont="1" applyFill="1" applyBorder="1" applyAlignment="1">
      <alignment horizontal="center" vertical="center"/>
    </xf>
    <xf numFmtId="2" fontId="10" fillId="11" borderId="76" xfId="0" applyNumberFormat="1" applyFont="1" applyFill="1" applyBorder="1" applyAlignment="1">
      <alignment horizontal="center" vertical="center"/>
    </xf>
    <xf numFmtId="1" fontId="5" fillId="11" borderId="102" xfId="8" applyNumberFormat="1" applyFont="1" applyFill="1" applyBorder="1" applyAlignment="1" applyProtection="1">
      <alignment vertical="center"/>
    </xf>
    <xf numFmtId="1" fontId="5" fillId="11" borderId="208" xfId="8" applyNumberFormat="1" applyFont="1" applyFill="1" applyBorder="1" applyAlignment="1" applyProtection="1">
      <alignment vertical="center"/>
    </xf>
    <xf numFmtId="1" fontId="5" fillId="11" borderId="116" xfId="8" applyNumberFormat="1" applyFont="1" applyFill="1" applyBorder="1" applyAlignment="1" applyProtection="1">
      <alignment horizontal="right" vertical="center"/>
    </xf>
    <xf numFmtId="1" fontId="10" fillId="11" borderId="208" xfId="0" applyNumberFormat="1" applyFont="1" applyFill="1" applyBorder="1" applyAlignment="1">
      <alignment horizontal="center" vertical="center"/>
    </xf>
    <xf numFmtId="1" fontId="10" fillId="11" borderId="67" xfId="0" applyNumberFormat="1" applyFont="1" applyFill="1" applyBorder="1" applyAlignment="1">
      <alignment horizontal="center" vertical="center"/>
    </xf>
    <xf numFmtId="1" fontId="10" fillId="11" borderId="68" xfId="0" applyNumberFormat="1" applyFont="1" applyFill="1" applyBorder="1" applyAlignment="1">
      <alignment horizontal="center" vertical="center"/>
    </xf>
    <xf numFmtId="1" fontId="10" fillId="11" borderId="66" xfId="0" applyNumberFormat="1" applyFont="1" applyFill="1" applyBorder="1" applyAlignment="1">
      <alignment horizontal="center" vertical="center"/>
    </xf>
    <xf numFmtId="1" fontId="10" fillId="11" borderId="103" xfId="0" applyNumberFormat="1" applyFont="1" applyFill="1" applyBorder="1" applyAlignment="1">
      <alignment horizontal="center" vertical="center"/>
    </xf>
    <xf numFmtId="1" fontId="10" fillId="11" borderId="209" xfId="0" applyNumberFormat="1" applyFont="1" applyFill="1" applyBorder="1" applyAlignment="1">
      <alignment horizontal="center" vertical="center"/>
    </xf>
    <xf numFmtId="1" fontId="10" fillId="11" borderId="102" xfId="0" applyNumberFormat="1" applyFont="1" applyFill="1" applyBorder="1" applyAlignment="1">
      <alignment horizontal="center" vertical="center"/>
    </xf>
    <xf numFmtId="1" fontId="10" fillId="11" borderId="116" xfId="0" applyNumberFormat="1" applyFont="1" applyFill="1" applyBorder="1" applyAlignment="1">
      <alignment horizontal="center" vertical="center"/>
    </xf>
    <xf numFmtId="1" fontId="5" fillId="11" borderId="90" xfId="8" applyNumberFormat="1" applyFont="1" applyFill="1" applyBorder="1" applyAlignment="1" applyProtection="1">
      <alignment vertical="center"/>
    </xf>
    <xf numFmtId="1" fontId="5" fillId="11" borderId="11" xfId="8" applyNumberFormat="1" applyFont="1" applyFill="1" applyBorder="1" applyAlignment="1" applyProtection="1">
      <alignment vertical="center"/>
    </xf>
    <xf numFmtId="1" fontId="5" fillId="11" borderId="81" xfId="8" applyNumberFormat="1" applyFont="1" applyFill="1" applyBorder="1" applyAlignment="1" applyProtection="1">
      <alignment horizontal="right" vertical="center"/>
    </xf>
    <xf numFmtId="1" fontId="10" fillId="11" borderId="11" xfId="0" applyNumberFormat="1" applyFont="1" applyFill="1" applyBorder="1" applyAlignment="1">
      <alignment horizontal="center" vertical="center"/>
    </xf>
    <xf numFmtId="1" fontId="10" fillId="11" borderId="1" xfId="0" applyNumberFormat="1" applyFont="1" applyFill="1" applyBorder="1" applyAlignment="1">
      <alignment horizontal="center" vertical="center"/>
    </xf>
    <xf numFmtId="1" fontId="10" fillId="11" borderId="58" xfId="0" applyNumberFormat="1" applyFont="1" applyFill="1" applyBorder="1" applyAlignment="1">
      <alignment horizontal="center" vertical="center"/>
    </xf>
    <xf numFmtId="1" fontId="10" fillId="11" borderId="59" xfId="0" applyNumberFormat="1" applyFont="1" applyFill="1" applyBorder="1" applyAlignment="1">
      <alignment horizontal="center" vertical="center"/>
    </xf>
    <xf numFmtId="1" fontId="10" fillId="11" borderId="34" xfId="0" applyNumberFormat="1" applyFont="1" applyFill="1" applyBorder="1" applyAlignment="1">
      <alignment horizontal="center" vertical="center"/>
    </xf>
    <xf numFmtId="1" fontId="10" fillId="11" borderId="213" xfId="0" applyNumberFormat="1" applyFont="1" applyFill="1" applyBorder="1" applyAlignment="1">
      <alignment horizontal="center" vertical="center"/>
    </xf>
    <xf numFmtId="1" fontId="10" fillId="11" borderId="90" xfId="0" applyNumberFormat="1" applyFont="1" applyFill="1" applyBorder="1" applyAlignment="1">
      <alignment horizontal="center" vertical="center"/>
    </xf>
    <xf numFmtId="1" fontId="10" fillId="11" borderId="81" xfId="0" applyNumberFormat="1" applyFont="1" applyFill="1" applyBorder="1" applyAlignment="1">
      <alignment horizontal="center" vertical="center"/>
    </xf>
    <xf numFmtId="1" fontId="5" fillId="11" borderId="97" xfId="8" applyNumberFormat="1" applyFont="1" applyFill="1" applyBorder="1" applyAlignment="1" applyProtection="1">
      <alignment vertical="center"/>
    </xf>
    <xf numFmtId="1" fontId="5" fillId="11" borderId="92" xfId="8" applyNumberFormat="1" applyFont="1" applyFill="1" applyBorder="1" applyAlignment="1" applyProtection="1">
      <alignment vertical="center"/>
    </xf>
    <xf numFmtId="1" fontId="5" fillId="11" borderId="95" xfId="8" applyNumberFormat="1" applyFont="1" applyFill="1" applyBorder="1" applyAlignment="1" applyProtection="1">
      <alignment horizontal="right" vertical="center"/>
    </xf>
    <xf numFmtId="1" fontId="10" fillId="11" borderId="4" xfId="0" applyNumberFormat="1" applyFont="1" applyFill="1" applyBorder="1" applyAlignment="1">
      <alignment horizontal="center" vertical="center"/>
    </xf>
    <xf numFmtId="1" fontId="10" fillId="11" borderId="20" xfId="0" applyNumberFormat="1" applyFont="1" applyFill="1" applyBorder="1" applyAlignment="1">
      <alignment horizontal="center" vertical="center"/>
    </xf>
    <xf numFmtId="1" fontId="10" fillId="11" borderId="113" xfId="0" applyNumberFormat="1" applyFont="1" applyFill="1" applyBorder="1" applyAlignment="1">
      <alignment horizontal="center" vertical="center"/>
    </xf>
    <xf numFmtId="1" fontId="10" fillId="11" borderId="117" xfId="0" applyNumberFormat="1" applyFont="1" applyFill="1" applyBorder="1" applyAlignment="1">
      <alignment horizontal="center" vertical="center"/>
    </xf>
    <xf numFmtId="1" fontId="10" fillId="11" borderId="13" xfId="0" applyNumberFormat="1" applyFont="1" applyFill="1" applyBorder="1" applyAlignment="1">
      <alignment horizontal="center" vertical="center"/>
    </xf>
    <xf numFmtId="1" fontId="10" fillId="11" borderId="216" xfId="0" applyNumberFormat="1" applyFont="1" applyFill="1" applyBorder="1" applyAlignment="1">
      <alignment horizontal="center" vertical="center"/>
    </xf>
    <xf numFmtId="1" fontId="10" fillId="0" borderId="211" xfId="0" applyNumberFormat="1" applyFont="1" applyFill="1" applyBorder="1" applyAlignment="1">
      <alignment horizontal="center" vertical="center"/>
    </xf>
    <xf numFmtId="1" fontId="10" fillId="11" borderId="86" xfId="0" applyNumberFormat="1" applyFont="1" applyFill="1" applyBorder="1" applyAlignment="1">
      <alignment horizontal="center" vertical="center"/>
    </xf>
    <xf numFmtId="1" fontId="10" fillId="11" borderId="87" xfId="0" applyNumberFormat="1" applyFont="1" applyFill="1" applyBorder="1" applyAlignment="1">
      <alignment horizontal="center" vertical="center"/>
    </xf>
    <xf numFmtId="0" fontId="8" fillId="4" borderId="7" xfId="0" applyFont="1" applyFill="1" applyBorder="1" applyAlignment="1">
      <alignment horizontal="left" vertical="center"/>
    </xf>
    <xf numFmtId="0" fontId="8" fillId="4" borderId="8" xfId="0" applyFont="1" applyFill="1" applyBorder="1" applyAlignment="1">
      <alignment horizontal="left" vertical="center"/>
    </xf>
    <xf numFmtId="0" fontId="8" fillId="0" borderId="80" xfId="0" applyFont="1" applyBorder="1" applyAlignment="1">
      <alignment horizontal="right"/>
    </xf>
    <xf numFmtId="0" fontId="8" fillId="0" borderId="10" xfId="0" applyFont="1" applyBorder="1" applyAlignment="1">
      <alignment vertical="center"/>
    </xf>
    <xf numFmtId="2" fontId="8" fillId="0" borderId="4" xfId="0" applyNumberFormat="1" applyFont="1" applyBorder="1" applyAlignment="1">
      <alignment horizontal="center" vertical="center"/>
    </xf>
    <xf numFmtId="0" fontId="8" fillId="0" borderId="4" xfId="0" applyFont="1" applyBorder="1" applyAlignment="1"/>
    <xf numFmtId="0" fontId="8" fillId="0" borderId="87" xfId="0" applyFont="1" applyBorder="1" applyAlignment="1"/>
    <xf numFmtId="0" fontId="8" fillId="0" borderId="86" xfId="0" applyFont="1" applyBorder="1" applyAlignment="1">
      <alignment vertical="center"/>
    </xf>
    <xf numFmtId="0" fontId="8" fillId="0" borderId="73" xfId="0" applyFont="1" applyBorder="1" applyAlignment="1"/>
    <xf numFmtId="0" fontId="2" fillId="0" borderId="74" xfId="0" applyFont="1" applyBorder="1" applyAlignment="1">
      <alignment vertical="center"/>
    </xf>
    <xf numFmtId="0" fontId="2" fillId="0" borderId="75" xfId="0" applyFont="1" applyBorder="1" applyAlignment="1">
      <alignment vertical="center"/>
    </xf>
    <xf numFmtId="0" fontId="2" fillId="0" borderId="75" xfId="0" applyFont="1" applyBorder="1" applyAlignment="1">
      <alignment horizontal="right" vertical="center"/>
    </xf>
    <xf numFmtId="2" fontId="8" fillId="0" borderId="83" xfId="0" applyNumberFormat="1" applyFont="1" applyBorder="1" applyAlignment="1">
      <alignment horizontal="left" vertical="center"/>
    </xf>
    <xf numFmtId="2" fontId="2" fillId="0" borderId="75" xfId="0" applyNumberFormat="1" applyFont="1" applyBorder="1" applyAlignment="1">
      <alignment horizontal="center" vertical="center"/>
    </xf>
    <xf numFmtId="2" fontId="2" fillId="0" borderId="75" xfId="0" applyNumberFormat="1" applyFont="1" applyBorder="1" applyAlignment="1">
      <alignment vertical="center"/>
    </xf>
    <xf numFmtId="2" fontId="2" fillId="0" borderId="76" xfId="0" applyNumberFormat="1" applyFont="1" applyBorder="1" applyAlignment="1">
      <alignment vertical="center"/>
    </xf>
    <xf numFmtId="2" fontId="8" fillId="0" borderId="74" xfId="0" applyNumberFormat="1" applyFont="1" applyBorder="1" applyAlignment="1">
      <alignment horizontal="left" vertical="center"/>
    </xf>
    <xf numFmtId="2" fontId="2" fillId="0" borderId="76" xfId="0" applyNumberFormat="1" applyFont="1" applyBorder="1" applyAlignment="1">
      <alignment horizontal="center" vertical="center"/>
    </xf>
    <xf numFmtId="9" fontId="0" fillId="0" borderId="0" xfId="7" applyFont="1"/>
    <xf numFmtId="9" fontId="186" fillId="0" borderId="0" xfId="7" applyFont="1"/>
    <xf numFmtId="9" fontId="186" fillId="0" borderId="0" xfId="0" applyNumberFormat="1" applyFont="1"/>
    <xf numFmtId="2" fontId="187" fillId="0" borderId="0" xfId="0" applyNumberFormat="1" applyFont="1"/>
    <xf numFmtId="214" fontId="34" fillId="0" borderId="0" xfId="0" applyNumberFormat="1" applyFont="1"/>
    <xf numFmtId="0" fontId="0" fillId="17" borderId="0" xfId="0" applyFill="1"/>
    <xf numFmtId="2" fontId="27" fillId="17" borderId="9" xfId="0" applyNumberFormat="1" applyFont="1" applyFill="1" applyBorder="1" applyAlignment="1">
      <alignment horizontal="centerContinuous" vertical="center"/>
    </xf>
    <xf numFmtId="2" fontId="27" fillId="17" borderId="8" xfId="0" applyNumberFormat="1" applyFont="1" applyFill="1" applyBorder="1" applyAlignment="1">
      <alignment horizontal="centerContinuous" vertical="center"/>
    </xf>
    <xf numFmtId="2" fontId="4" fillId="17" borderId="103" xfId="0" applyNumberFormat="1" applyFont="1" applyFill="1" applyBorder="1" applyAlignment="1">
      <alignment horizontal="center" vertical="center" wrapText="1"/>
    </xf>
    <xf numFmtId="2" fontId="4" fillId="17" borderId="68" xfId="0" applyNumberFormat="1" applyFont="1" applyFill="1" applyBorder="1" applyAlignment="1">
      <alignment horizontal="center" vertical="center" wrapText="1"/>
    </xf>
    <xf numFmtId="1" fontId="5" fillId="17" borderId="23" xfId="0" applyNumberFormat="1" applyFont="1" applyFill="1" applyBorder="1" applyAlignment="1">
      <alignment horizontal="center" vertical="center"/>
    </xf>
    <xf numFmtId="1" fontId="5" fillId="17" borderId="12" xfId="0" applyNumberFormat="1" applyFont="1" applyFill="1" applyBorder="1" applyAlignment="1">
      <alignment horizontal="center" vertical="center"/>
    </xf>
    <xf numFmtId="1" fontId="5" fillId="17" borderId="112" xfId="0" applyNumberFormat="1" applyFont="1" applyFill="1" applyBorder="1" applyAlignment="1">
      <alignment horizontal="center" vertical="center"/>
    </xf>
    <xf numFmtId="1" fontId="10" fillId="17" borderId="23" xfId="0" applyNumberFormat="1" applyFont="1" applyFill="1" applyBorder="1" applyAlignment="1">
      <alignment horizontal="center" vertical="center"/>
    </xf>
    <xf numFmtId="1" fontId="10" fillId="17" borderId="12" xfId="0" applyNumberFormat="1" applyFont="1" applyFill="1" applyBorder="1" applyAlignment="1">
      <alignment horizontal="center" vertical="center"/>
    </xf>
    <xf numFmtId="1" fontId="10" fillId="17" borderId="112" xfId="0" applyNumberFormat="1" applyFont="1" applyFill="1" applyBorder="1" applyAlignment="1">
      <alignment horizontal="center" vertical="center"/>
    </xf>
    <xf numFmtId="3" fontId="5" fillId="17" borderId="23" xfId="0" applyNumberFormat="1" applyFont="1" applyFill="1" applyBorder="1" applyAlignment="1">
      <alignment horizontal="center" vertical="center"/>
    </xf>
    <xf numFmtId="3" fontId="5" fillId="17" borderId="12" xfId="0" applyNumberFormat="1" applyFont="1" applyFill="1" applyBorder="1" applyAlignment="1">
      <alignment horizontal="center" vertical="center"/>
    </xf>
    <xf numFmtId="3" fontId="5" fillId="17" borderId="112" xfId="0" applyNumberFormat="1" applyFont="1" applyFill="1" applyBorder="1" applyAlignment="1">
      <alignment horizontal="center" vertical="center"/>
    </xf>
    <xf numFmtId="3" fontId="10" fillId="17" borderId="118" xfId="0" applyNumberFormat="1" applyFont="1" applyFill="1" applyBorder="1" applyAlignment="1">
      <alignment horizontal="center" vertical="center"/>
    </xf>
    <xf numFmtId="3" fontId="10" fillId="17" borderId="82" xfId="0" applyNumberFormat="1" applyFont="1" applyFill="1" applyBorder="1" applyAlignment="1">
      <alignment horizontal="center" vertical="center"/>
    </xf>
    <xf numFmtId="3" fontId="10" fillId="17" borderId="173" xfId="0" applyNumberFormat="1" applyFont="1" applyFill="1" applyBorder="1" applyAlignment="1">
      <alignment horizontal="center" vertical="center"/>
    </xf>
    <xf numFmtId="1" fontId="5" fillId="17" borderId="0" xfId="0" applyNumberFormat="1" applyFont="1" applyFill="1" applyBorder="1" applyAlignment="1">
      <alignment horizontal="center" vertical="center"/>
    </xf>
    <xf numFmtId="1" fontId="5" fillId="17" borderId="73" xfId="0" applyNumberFormat="1" applyFont="1" applyFill="1" applyBorder="1" applyAlignment="1">
      <alignment horizontal="center" vertical="center"/>
    </xf>
    <xf numFmtId="1" fontId="10" fillId="17" borderId="110" xfId="0" applyNumberFormat="1" applyFont="1" applyFill="1" applyBorder="1" applyAlignment="1">
      <alignment horizontal="center" vertical="center"/>
    </xf>
    <xf numFmtId="1" fontId="10" fillId="17" borderId="80" xfId="0" applyNumberFormat="1" applyFont="1" applyFill="1" applyBorder="1" applyAlignment="1">
      <alignment horizontal="center" vertical="center"/>
    </xf>
    <xf numFmtId="1" fontId="10" fillId="17" borderId="142" xfId="0" applyNumberFormat="1" applyFont="1" applyFill="1" applyBorder="1" applyAlignment="1">
      <alignment horizontal="center" vertical="center"/>
    </xf>
    <xf numFmtId="1" fontId="10" fillId="17" borderId="33" xfId="0" applyNumberFormat="1" applyFont="1" applyFill="1" applyBorder="1" applyAlignment="1">
      <alignment horizontal="center" vertical="center"/>
    </xf>
    <xf numFmtId="1" fontId="10" fillId="17" borderId="6" xfId="0" applyNumberFormat="1" applyFont="1" applyFill="1" applyBorder="1" applyAlignment="1">
      <alignment horizontal="center" vertical="center"/>
    </xf>
    <xf numFmtId="1" fontId="10" fillId="17" borderId="115" xfId="0" applyNumberFormat="1" applyFont="1" applyFill="1" applyBorder="1" applyAlignment="1">
      <alignment horizontal="center" vertical="center"/>
    </xf>
    <xf numFmtId="3" fontId="5" fillId="17" borderId="33" xfId="0" applyNumberFormat="1" applyFont="1" applyFill="1" applyBorder="1" applyAlignment="1">
      <alignment horizontal="center" vertical="center"/>
    </xf>
    <xf numFmtId="3" fontId="5" fillId="17" borderId="6" xfId="0" applyNumberFormat="1" applyFont="1" applyFill="1" applyBorder="1" applyAlignment="1">
      <alignment horizontal="center" vertical="center"/>
    </xf>
    <xf numFmtId="3" fontId="5" fillId="17" borderId="115" xfId="0" applyNumberFormat="1" applyFont="1" applyFill="1" applyBorder="1" applyAlignment="1">
      <alignment horizontal="center" vertical="center"/>
    </xf>
    <xf numFmtId="3" fontId="4" fillId="17" borderId="1" xfId="0" applyNumberFormat="1" applyFont="1" applyFill="1" applyBorder="1" applyAlignment="1">
      <alignment horizontal="center" vertical="center"/>
    </xf>
    <xf numFmtId="3" fontId="4" fillId="17" borderId="34" xfId="0" applyNumberFormat="1" applyFont="1" applyFill="1" applyBorder="1" applyAlignment="1">
      <alignment horizontal="center" vertical="center"/>
    </xf>
    <xf numFmtId="3" fontId="4" fillId="17" borderId="58" xfId="0" applyNumberFormat="1" applyFont="1" applyFill="1" applyBorder="1" applyAlignment="1">
      <alignment horizontal="center" vertical="center"/>
    </xf>
    <xf numFmtId="1" fontId="5" fillId="17" borderId="33" xfId="0" applyNumberFormat="1" applyFont="1" applyFill="1" applyBorder="1" applyAlignment="1">
      <alignment horizontal="center" vertical="center"/>
    </xf>
    <xf numFmtId="1" fontId="5" fillId="17" borderId="115" xfId="0" applyNumberFormat="1" applyFont="1" applyFill="1" applyBorder="1" applyAlignment="1">
      <alignment horizontal="center" vertical="center"/>
    </xf>
    <xf numFmtId="1" fontId="10" fillId="17" borderId="1" xfId="0" applyNumberFormat="1" applyFont="1" applyFill="1" applyBorder="1" applyAlignment="1">
      <alignment horizontal="center" vertical="center"/>
    </xf>
    <xf numFmtId="1" fontId="10" fillId="17" borderId="34" xfId="0" applyNumberFormat="1" applyFont="1" applyFill="1" applyBorder="1" applyAlignment="1">
      <alignment horizontal="center" vertical="center"/>
    </xf>
    <xf numFmtId="1" fontId="10" fillId="17" borderId="58" xfId="0" applyNumberFormat="1" applyFont="1" applyFill="1" applyBorder="1" applyAlignment="1">
      <alignment horizontal="center" vertical="center"/>
    </xf>
    <xf numFmtId="3" fontId="4" fillId="17" borderId="23" xfId="0" applyNumberFormat="1" applyFont="1" applyFill="1" applyBorder="1" applyAlignment="1">
      <alignment horizontal="center" vertical="center"/>
    </xf>
    <xf numFmtId="3" fontId="4" fillId="17" borderId="12" xfId="0" applyNumberFormat="1" applyFont="1" applyFill="1" applyBorder="1" applyAlignment="1">
      <alignment horizontal="center" vertical="center"/>
    </xf>
    <xf numFmtId="3" fontId="4" fillId="17" borderId="112" xfId="0" applyNumberFormat="1" applyFont="1" applyFill="1" applyBorder="1" applyAlignment="1">
      <alignment horizontal="center" vertical="center"/>
    </xf>
    <xf numFmtId="2" fontId="9" fillId="17" borderId="23" xfId="0" applyNumberFormat="1" applyFont="1" applyFill="1" applyBorder="1" applyAlignment="1">
      <alignment horizontal="center" vertical="center"/>
    </xf>
    <xf numFmtId="2" fontId="9" fillId="17" borderId="12" xfId="0" applyNumberFormat="1" applyFont="1" applyFill="1" applyBorder="1" applyAlignment="1">
      <alignment horizontal="center" vertical="center"/>
    </xf>
    <xf numFmtId="2" fontId="9" fillId="17" borderId="112" xfId="0" applyNumberFormat="1" applyFont="1" applyFill="1" applyBorder="1" applyAlignment="1">
      <alignment horizontal="center" vertical="center"/>
    </xf>
    <xf numFmtId="2" fontId="9" fillId="17" borderId="118" xfId="0" applyNumberFormat="1" applyFont="1" applyFill="1" applyBorder="1" applyAlignment="1">
      <alignment horizontal="center" vertical="center"/>
    </xf>
    <xf numFmtId="2" fontId="9" fillId="17" borderId="82" xfId="0" applyNumberFormat="1" applyFont="1" applyFill="1" applyBorder="1" applyAlignment="1">
      <alignment horizontal="center" vertical="center"/>
    </xf>
    <xf numFmtId="2" fontId="9" fillId="17" borderId="173" xfId="0" applyNumberFormat="1" applyFont="1" applyFill="1" applyBorder="1" applyAlignment="1">
      <alignment horizontal="center" vertical="center"/>
    </xf>
    <xf numFmtId="2" fontId="9" fillId="17" borderId="0" xfId="0" applyNumberFormat="1" applyFont="1" applyFill="1" applyBorder="1" applyAlignment="1">
      <alignment horizontal="center" vertical="center"/>
    </xf>
    <xf numFmtId="2" fontId="9" fillId="17" borderId="73" xfId="0" applyNumberFormat="1" applyFont="1" applyFill="1" applyBorder="1" applyAlignment="1">
      <alignment horizontal="center" vertical="center"/>
    </xf>
    <xf numFmtId="166" fontId="5" fillId="17" borderId="67" xfId="0" applyNumberFormat="1" applyFont="1" applyFill="1" applyBorder="1" applyAlignment="1">
      <alignment horizontal="center" vertical="center"/>
    </xf>
    <xf numFmtId="166" fontId="5" fillId="17" borderId="103" xfId="0" applyNumberFormat="1" applyFont="1" applyFill="1" applyBorder="1" applyAlignment="1">
      <alignment horizontal="center" vertical="center"/>
    </xf>
    <xf numFmtId="166" fontId="5" fillId="17" borderId="68" xfId="0" applyNumberFormat="1" applyFont="1" applyFill="1" applyBorder="1" applyAlignment="1">
      <alignment horizontal="center" vertical="center"/>
    </xf>
    <xf numFmtId="1" fontId="5" fillId="17" borderId="1" xfId="0" applyNumberFormat="1" applyFont="1" applyFill="1" applyBorder="1" applyAlignment="1">
      <alignment horizontal="center" vertical="center"/>
    </xf>
    <xf numFmtId="1" fontId="5" fillId="17" borderId="34" xfId="0" applyNumberFormat="1" applyFont="1" applyFill="1" applyBorder="1" applyAlignment="1">
      <alignment horizontal="center" vertical="center"/>
    </xf>
    <xf numFmtId="1" fontId="5" fillId="17" borderId="58" xfId="0" applyNumberFormat="1" applyFont="1" applyFill="1" applyBorder="1" applyAlignment="1">
      <alignment horizontal="center" vertical="center"/>
    </xf>
    <xf numFmtId="3" fontId="6" fillId="17" borderId="1" xfId="0" applyNumberFormat="1" applyFont="1" applyFill="1" applyBorder="1" applyAlignment="1">
      <alignment horizontal="center" vertical="center"/>
    </xf>
    <xf numFmtId="3" fontId="6" fillId="17" borderId="34" xfId="0" applyNumberFormat="1" applyFont="1" applyFill="1" applyBorder="1" applyAlignment="1">
      <alignment horizontal="center" vertical="center"/>
    </xf>
    <xf numFmtId="3" fontId="6" fillId="17" borderId="58" xfId="0" applyNumberFormat="1" applyFont="1" applyFill="1" applyBorder="1" applyAlignment="1">
      <alignment horizontal="center" vertical="center"/>
    </xf>
    <xf numFmtId="3" fontId="5" fillId="17" borderId="0" xfId="0" applyNumberFormat="1" applyFont="1" applyFill="1" applyBorder="1" applyAlignment="1">
      <alignment horizontal="center" vertical="center"/>
    </xf>
    <xf numFmtId="3" fontId="5" fillId="17" borderId="73" xfId="0" applyNumberFormat="1" applyFont="1" applyFill="1" applyBorder="1" applyAlignment="1">
      <alignment horizontal="center" vertical="center"/>
    </xf>
    <xf numFmtId="3" fontId="177" fillId="17" borderId="1" xfId="0" applyNumberFormat="1" applyFont="1" applyFill="1" applyBorder="1" applyAlignment="1">
      <alignment horizontal="center" vertical="center"/>
    </xf>
    <xf numFmtId="3" fontId="177" fillId="17" borderId="34" xfId="0" applyNumberFormat="1" applyFont="1" applyFill="1" applyBorder="1" applyAlignment="1">
      <alignment horizontal="center" vertical="center"/>
    </xf>
    <xf numFmtId="3" fontId="177" fillId="17" borderId="58" xfId="0" applyNumberFormat="1" applyFont="1" applyFill="1" applyBorder="1" applyAlignment="1">
      <alignment horizontal="center" vertical="center"/>
    </xf>
    <xf numFmtId="3" fontId="177" fillId="17" borderId="149" xfId="0" applyNumberFormat="1" applyFont="1" applyFill="1" applyBorder="1" applyAlignment="1">
      <alignment horizontal="center" vertical="center"/>
    </xf>
    <xf numFmtId="3" fontId="177" fillId="17" borderId="93" xfId="0" applyNumberFormat="1" applyFont="1" applyFill="1" applyBorder="1" applyAlignment="1">
      <alignment horizontal="center" vertical="center"/>
    </xf>
    <xf numFmtId="3" fontId="177" fillId="17" borderId="150" xfId="0" applyNumberFormat="1" applyFont="1" applyFill="1" applyBorder="1" applyAlignment="1">
      <alignment horizontal="center" vertical="center"/>
    </xf>
    <xf numFmtId="3" fontId="177" fillId="17" borderId="23" xfId="0" applyNumberFormat="1" applyFont="1" applyFill="1" applyBorder="1" applyAlignment="1">
      <alignment horizontal="center" vertical="center"/>
    </xf>
    <xf numFmtId="3" fontId="177" fillId="17" borderId="12" xfId="0" applyNumberFormat="1" applyFont="1" applyFill="1" applyBorder="1" applyAlignment="1">
      <alignment horizontal="center" vertical="center"/>
    </xf>
    <xf numFmtId="3" fontId="177" fillId="17" borderId="112" xfId="0" applyNumberFormat="1" applyFont="1" applyFill="1" applyBorder="1" applyAlignment="1">
      <alignment horizontal="center" vertical="center"/>
    </xf>
    <xf numFmtId="166" fontId="9" fillId="17" borderId="23" xfId="0" applyNumberFormat="1" applyFont="1" applyFill="1" applyBorder="1" applyAlignment="1">
      <alignment horizontal="center" vertical="center"/>
    </xf>
    <xf numFmtId="166" fontId="9" fillId="17" borderId="12" xfId="0" applyNumberFormat="1" applyFont="1" applyFill="1" applyBorder="1" applyAlignment="1">
      <alignment horizontal="center" vertical="center"/>
    </xf>
    <xf numFmtId="166" fontId="9" fillId="17" borderId="112" xfId="0" applyNumberFormat="1" applyFont="1" applyFill="1" applyBorder="1" applyAlignment="1">
      <alignment horizontal="center" vertical="center"/>
    </xf>
    <xf numFmtId="166" fontId="4" fillId="17" borderId="23" xfId="0" applyNumberFormat="1" applyFont="1" applyFill="1" applyBorder="1" applyAlignment="1">
      <alignment horizontal="center" vertical="center"/>
    </xf>
    <xf numFmtId="166" fontId="4" fillId="17" borderId="12" xfId="0" applyNumberFormat="1" applyFont="1" applyFill="1" applyBorder="1" applyAlignment="1">
      <alignment horizontal="center" vertical="center"/>
    </xf>
    <xf numFmtId="166" fontId="4" fillId="17" borderId="112" xfId="0" applyNumberFormat="1" applyFont="1" applyFill="1" applyBorder="1" applyAlignment="1">
      <alignment horizontal="center" vertical="center"/>
    </xf>
    <xf numFmtId="2" fontId="68" fillId="17" borderId="23" xfId="0" applyNumberFormat="1" applyFont="1" applyFill="1" applyBorder="1" applyAlignment="1">
      <alignment horizontal="center" vertical="center"/>
    </xf>
    <xf numFmtId="2" fontId="68" fillId="17" borderId="12" xfId="0" applyNumberFormat="1" applyFont="1" applyFill="1" applyBorder="1" applyAlignment="1">
      <alignment horizontal="center" vertical="center"/>
    </xf>
    <xf numFmtId="2" fontId="68" fillId="17" borderId="112" xfId="0" applyNumberFormat="1" applyFont="1" applyFill="1" applyBorder="1" applyAlignment="1">
      <alignment horizontal="center" vertical="center"/>
    </xf>
    <xf numFmtId="2" fontId="4" fillId="17" borderId="33" xfId="0" applyNumberFormat="1" applyFont="1" applyFill="1" applyBorder="1" applyAlignment="1">
      <alignment horizontal="center" vertical="center"/>
    </xf>
    <xf numFmtId="2" fontId="4" fillId="17" borderId="6" xfId="0" applyNumberFormat="1" applyFont="1" applyFill="1" applyBorder="1" applyAlignment="1">
      <alignment horizontal="center" vertical="center"/>
    </xf>
    <xf numFmtId="2" fontId="4" fillId="17" borderId="115" xfId="0" applyNumberFormat="1" applyFont="1" applyFill="1" applyBorder="1" applyAlignment="1">
      <alignment horizontal="center" vertical="center"/>
    </xf>
    <xf numFmtId="2" fontId="5" fillId="17" borderId="23" xfId="0" applyNumberFormat="1" applyFont="1" applyFill="1" applyBorder="1" applyAlignment="1">
      <alignment horizontal="center" vertical="center"/>
    </xf>
    <xf numFmtId="2" fontId="5" fillId="17" borderId="12" xfId="0" applyNumberFormat="1" applyFont="1" applyFill="1" applyBorder="1" applyAlignment="1">
      <alignment horizontal="center" vertical="center"/>
    </xf>
    <xf numFmtId="2" fontId="5" fillId="17" borderId="112" xfId="0" applyNumberFormat="1" applyFont="1" applyFill="1" applyBorder="1" applyAlignment="1">
      <alignment horizontal="center" vertical="center"/>
    </xf>
    <xf numFmtId="2" fontId="5" fillId="17" borderId="33" xfId="0" applyNumberFormat="1" applyFont="1" applyFill="1" applyBorder="1" applyAlignment="1">
      <alignment horizontal="center" vertical="center"/>
    </xf>
    <xf numFmtId="2" fontId="5" fillId="17" borderId="6" xfId="0" applyNumberFormat="1" applyFont="1" applyFill="1" applyBorder="1" applyAlignment="1">
      <alignment horizontal="center" vertical="center"/>
    </xf>
    <xf numFmtId="2" fontId="5" fillId="17" borderId="115" xfId="0" applyNumberFormat="1" applyFont="1" applyFill="1" applyBorder="1" applyAlignment="1">
      <alignment horizontal="center" vertical="center"/>
    </xf>
    <xf numFmtId="2" fontId="179" fillId="17" borderId="23" xfId="0" applyNumberFormat="1" applyFont="1" applyFill="1" applyBorder="1" applyAlignment="1">
      <alignment horizontal="center" vertical="center"/>
    </xf>
    <xf numFmtId="2" fontId="179" fillId="17" borderId="12" xfId="0" applyNumberFormat="1" applyFont="1" applyFill="1" applyBorder="1" applyAlignment="1">
      <alignment horizontal="center" vertical="center"/>
    </xf>
    <xf numFmtId="2" fontId="179" fillId="17" borderId="112" xfId="0" applyNumberFormat="1" applyFont="1" applyFill="1" applyBorder="1" applyAlignment="1">
      <alignment horizontal="center" vertical="center"/>
    </xf>
    <xf numFmtId="2" fontId="10" fillId="17" borderId="118" xfId="0" applyNumberFormat="1" applyFont="1" applyFill="1" applyBorder="1" applyAlignment="1">
      <alignment horizontal="center" vertical="center"/>
    </xf>
    <xf numFmtId="2" fontId="10" fillId="17" borderId="82" xfId="0" applyNumberFormat="1" applyFont="1" applyFill="1" applyBorder="1" applyAlignment="1">
      <alignment horizontal="center" vertical="center"/>
    </xf>
    <xf numFmtId="2" fontId="10" fillId="17" borderId="173" xfId="0" applyNumberFormat="1" applyFont="1" applyFill="1" applyBorder="1" applyAlignment="1">
      <alignment horizontal="center" vertical="center"/>
    </xf>
    <xf numFmtId="1" fontId="10" fillId="17" borderId="67" xfId="0" applyNumberFormat="1" applyFont="1" applyFill="1" applyBorder="1" applyAlignment="1">
      <alignment horizontal="center" vertical="center"/>
    </xf>
    <xf numFmtId="1" fontId="10" fillId="17" borderId="103" xfId="0" applyNumberFormat="1" applyFont="1" applyFill="1" applyBorder="1" applyAlignment="1">
      <alignment horizontal="center" vertical="center"/>
    </xf>
    <xf numFmtId="1" fontId="10" fillId="17" borderId="68" xfId="0" applyNumberFormat="1" applyFont="1" applyFill="1" applyBorder="1" applyAlignment="1">
      <alignment horizontal="center" vertical="center"/>
    </xf>
    <xf numFmtId="1" fontId="10" fillId="17" borderId="20" xfId="0" applyNumberFormat="1" applyFont="1" applyFill="1" applyBorder="1" applyAlignment="1">
      <alignment horizontal="center" vertical="center"/>
    </xf>
    <xf numFmtId="1" fontId="10" fillId="17" borderId="13" xfId="0" applyNumberFormat="1" applyFont="1" applyFill="1" applyBorder="1" applyAlignment="1">
      <alignment horizontal="center" vertical="center"/>
    </xf>
    <xf numFmtId="1" fontId="10" fillId="17" borderId="113" xfId="0" applyNumberFormat="1" applyFont="1" applyFill="1" applyBorder="1" applyAlignment="1">
      <alignment horizontal="center" vertical="center"/>
    </xf>
    <xf numFmtId="0" fontId="8" fillId="17" borderId="4" xfId="0" applyFont="1" applyFill="1" applyBorder="1" applyAlignment="1"/>
    <xf numFmtId="0" fontId="8" fillId="17" borderId="87" xfId="0" applyFont="1" applyFill="1" applyBorder="1" applyAlignment="1"/>
    <xf numFmtId="2" fontId="2" fillId="17" borderId="75" xfId="0" applyNumberFormat="1" applyFont="1" applyFill="1" applyBorder="1" applyAlignment="1">
      <alignment vertical="center"/>
    </xf>
    <xf numFmtId="2" fontId="2" fillId="17" borderId="76" xfId="0" applyNumberFormat="1" applyFont="1" applyFill="1" applyBorder="1" applyAlignment="1">
      <alignment vertical="center"/>
    </xf>
    <xf numFmtId="0" fontId="0" fillId="18" borderId="0" xfId="0" applyFill="1"/>
    <xf numFmtId="3" fontId="0" fillId="18" borderId="0" xfId="0" applyNumberFormat="1" applyFill="1"/>
    <xf numFmtId="2" fontId="187" fillId="18" borderId="0" xfId="0" applyNumberFormat="1" applyFont="1" applyFill="1"/>
    <xf numFmtId="9" fontId="0" fillId="18" borderId="0" xfId="7" applyFont="1" applyFill="1"/>
    <xf numFmtId="3" fontId="0" fillId="17" borderId="0" xfId="0" applyNumberFormat="1" applyFill="1"/>
    <xf numFmtId="188" fontId="187" fillId="17" borderId="0" xfId="0" applyNumberFormat="1" applyFont="1" applyFill="1"/>
    <xf numFmtId="2" fontId="187" fillId="17" borderId="0" xfId="0" applyNumberFormat="1" applyFont="1" applyFill="1"/>
    <xf numFmtId="9" fontId="0" fillId="17" borderId="0" xfId="7" applyFont="1" applyFill="1"/>
    <xf numFmtId="2" fontId="27" fillId="18" borderId="8" xfId="0" applyNumberFormat="1" applyFont="1" applyFill="1" applyBorder="1" applyAlignment="1">
      <alignment horizontal="centerContinuous" vertical="center"/>
    </xf>
    <xf numFmtId="2" fontId="4" fillId="18" borderId="66" xfId="0" applyNumberFormat="1" applyFont="1" applyFill="1" applyBorder="1" applyAlignment="1">
      <alignment horizontal="center" vertical="center" wrapText="1"/>
    </xf>
    <xf numFmtId="2" fontId="4" fillId="18" borderId="103" xfId="0" applyNumberFormat="1" applyFont="1" applyFill="1" applyBorder="1" applyAlignment="1">
      <alignment horizontal="center" vertical="center" wrapText="1"/>
    </xf>
    <xf numFmtId="2" fontId="4" fillId="18" borderId="67" xfId="0" applyNumberFormat="1" applyFont="1" applyFill="1" applyBorder="1" applyAlignment="1">
      <alignment horizontal="center" vertical="center" wrapText="1"/>
    </xf>
    <xf numFmtId="2" fontId="4" fillId="18" borderId="116" xfId="0" applyNumberFormat="1" applyFont="1" applyFill="1" applyBorder="1" applyAlignment="1">
      <alignment horizontal="center" vertical="center" wrapText="1"/>
    </xf>
    <xf numFmtId="1" fontId="5" fillId="18" borderId="111" xfId="0" applyNumberFormat="1" applyFont="1" applyFill="1" applyBorder="1" applyAlignment="1">
      <alignment horizontal="center" vertical="center"/>
    </xf>
    <xf numFmtId="1" fontId="5" fillId="18" borderId="12" xfId="0" applyNumberFormat="1" applyFont="1" applyFill="1" applyBorder="1" applyAlignment="1">
      <alignment horizontal="center" vertical="center"/>
    </xf>
    <xf numFmtId="1" fontId="5" fillId="18" borderId="23" xfId="0" applyNumberFormat="1" applyFont="1" applyFill="1" applyBorder="1" applyAlignment="1">
      <alignment horizontal="center" vertical="center"/>
    </xf>
    <xf numFmtId="1" fontId="5" fillId="18" borderId="0" xfId="0" applyNumberFormat="1" applyFont="1" applyFill="1" applyBorder="1" applyAlignment="1">
      <alignment horizontal="center" vertical="center"/>
    </xf>
    <xf numFmtId="1" fontId="10" fillId="18" borderId="111" xfId="0" applyNumberFormat="1" applyFont="1" applyFill="1" applyBorder="1" applyAlignment="1">
      <alignment horizontal="center" vertical="center"/>
    </xf>
    <xf numFmtId="1" fontId="10" fillId="18" borderId="12" xfId="0" applyNumberFormat="1" applyFont="1" applyFill="1" applyBorder="1" applyAlignment="1">
      <alignment horizontal="center" vertical="center"/>
    </xf>
    <xf numFmtId="1" fontId="10" fillId="18" borderId="23" xfId="0" applyNumberFormat="1" applyFont="1" applyFill="1" applyBorder="1" applyAlignment="1">
      <alignment horizontal="center" vertical="center"/>
    </xf>
    <xf numFmtId="1" fontId="10" fillId="18" borderId="0" xfId="0" applyNumberFormat="1" applyFont="1" applyFill="1" applyBorder="1" applyAlignment="1">
      <alignment horizontal="center" vertical="center"/>
    </xf>
    <xf numFmtId="3" fontId="5" fillId="18" borderId="111" xfId="0" applyNumberFormat="1" applyFont="1" applyFill="1" applyBorder="1" applyAlignment="1">
      <alignment horizontal="center" vertical="center"/>
    </xf>
    <xf numFmtId="3" fontId="5" fillId="18" borderId="12" xfId="0" applyNumberFormat="1" applyFont="1" applyFill="1" applyBorder="1" applyAlignment="1">
      <alignment horizontal="center" vertical="center"/>
    </xf>
    <xf numFmtId="3" fontId="5" fillId="18" borderId="23" xfId="0" applyNumberFormat="1" applyFont="1" applyFill="1" applyBorder="1" applyAlignment="1">
      <alignment horizontal="center" vertical="center"/>
    </xf>
    <xf numFmtId="3" fontId="5" fillId="18" borderId="0" xfId="0" applyNumberFormat="1" applyFont="1" applyFill="1" applyBorder="1" applyAlignment="1">
      <alignment horizontal="center" vertical="center"/>
    </xf>
    <xf numFmtId="3" fontId="10" fillId="18" borderId="153" xfId="0" applyNumberFormat="1" applyFont="1" applyFill="1" applyBorder="1" applyAlignment="1">
      <alignment horizontal="center" vertical="center"/>
    </xf>
    <xf numFmtId="3" fontId="10" fillId="18" borderId="82" xfId="0" applyNumberFormat="1" applyFont="1" applyFill="1" applyBorder="1" applyAlignment="1">
      <alignment horizontal="center" vertical="center"/>
    </xf>
    <xf numFmtId="3" fontId="10" fillId="18" borderId="118" xfId="0" applyNumberFormat="1" applyFont="1" applyFill="1" applyBorder="1" applyAlignment="1">
      <alignment horizontal="center" vertical="center"/>
    </xf>
    <xf numFmtId="3" fontId="10" fillId="18" borderId="75" xfId="0" applyNumberFormat="1" applyFont="1" applyFill="1" applyBorder="1" applyAlignment="1">
      <alignment horizontal="center" vertical="center"/>
    </xf>
    <xf numFmtId="1" fontId="10" fillId="18" borderId="109" xfId="0" applyNumberFormat="1" applyFont="1" applyFill="1" applyBorder="1" applyAlignment="1">
      <alignment horizontal="center" vertical="center"/>
    </xf>
    <xf numFmtId="1" fontId="10" fillId="18" borderId="80" xfId="0" applyNumberFormat="1" applyFont="1" applyFill="1" applyBorder="1" applyAlignment="1">
      <alignment horizontal="center" vertical="center"/>
    </xf>
    <xf numFmtId="1" fontId="10" fillId="18" borderId="110" xfId="0" applyNumberFormat="1" applyFont="1" applyFill="1" applyBorder="1" applyAlignment="1">
      <alignment horizontal="center" vertical="center"/>
    </xf>
    <xf numFmtId="1" fontId="10" fillId="18" borderId="8" xfId="0" applyNumberFormat="1" applyFont="1" applyFill="1" applyBorder="1" applyAlignment="1">
      <alignment horizontal="center" vertical="center"/>
    </xf>
    <xf numFmtId="1" fontId="10" fillId="18" borderId="114" xfId="0" applyNumberFormat="1" applyFont="1" applyFill="1" applyBorder="1" applyAlignment="1">
      <alignment horizontal="center" vertical="center"/>
    </xf>
    <xf numFmtId="1" fontId="10" fillId="18" borderId="6" xfId="0" applyNumberFormat="1" applyFont="1" applyFill="1" applyBorder="1" applyAlignment="1">
      <alignment horizontal="center" vertical="center"/>
    </xf>
    <xf numFmtId="1" fontId="10" fillId="18" borderId="33" xfId="0" applyNumberFormat="1" applyFont="1" applyFill="1" applyBorder="1" applyAlignment="1">
      <alignment horizontal="center" vertical="center"/>
    </xf>
    <xf numFmtId="1" fontId="10" fillId="18" borderId="5" xfId="0" applyNumberFormat="1" applyFont="1" applyFill="1" applyBorder="1" applyAlignment="1">
      <alignment horizontal="center" vertical="center"/>
    </xf>
    <xf numFmtId="3" fontId="5" fillId="18" borderId="114" xfId="0" applyNumberFormat="1" applyFont="1" applyFill="1" applyBorder="1" applyAlignment="1">
      <alignment horizontal="center" vertical="center"/>
    </xf>
    <xf numFmtId="3" fontId="5" fillId="18" borderId="6" xfId="0" applyNumberFormat="1" applyFont="1" applyFill="1" applyBorder="1" applyAlignment="1">
      <alignment horizontal="center" vertical="center"/>
    </xf>
    <xf numFmtId="3" fontId="5" fillId="18" borderId="33" xfId="0" applyNumberFormat="1" applyFont="1" applyFill="1" applyBorder="1" applyAlignment="1">
      <alignment horizontal="center" vertical="center"/>
    </xf>
    <xf numFmtId="3" fontId="5" fillId="18" borderId="5" xfId="0" applyNumberFormat="1" applyFont="1" applyFill="1" applyBorder="1" applyAlignment="1">
      <alignment horizontal="center" vertical="center"/>
    </xf>
    <xf numFmtId="3" fontId="4" fillId="18" borderId="59" xfId="0" applyNumberFormat="1" applyFont="1" applyFill="1" applyBorder="1" applyAlignment="1">
      <alignment horizontal="center" vertical="center"/>
    </xf>
    <xf numFmtId="3" fontId="4" fillId="18" borderId="34" xfId="0" applyNumberFormat="1" applyFont="1" applyFill="1" applyBorder="1" applyAlignment="1">
      <alignment horizontal="center" vertical="center"/>
    </xf>
    <xf numFmtId="3" fontId="4" fillId="18" borderId="1" xfId="0" applyNumberFormat="1" applyFont="1" applyFill="1" applyBorder="1" applyAlignment="1">
      <alignment horizontal="center" vertical="center"/>
    </xf>
    <xf numFmtId="3" fontId="4" fillId="18" borderId="11" xfId="0" applyNumberFormat="1" applyFont="1" applyFill="1" applyBorder="1" applyAlignment="1">
      <alignment horizontal="center" vertical="center"/>
    </xf>
    <xf numFmtId="1" fontId="5" fillId="18" borderId="114" xfId="0" applyNumberFormat="1" applyFont="1" applyFill="1" applyBorder="1" applyAlignment="1">
      <alignment horizontal="center" vertical="center"/>
    </xf>
    <xf numFmtId="1" fontId="5" fillId="18" borderId="6" xfId="0" applyNumberFormat="1" applyFont="1" applyFill="1" applyBorder="1" applyAlignment="1">
      <alignment horizontal="center" vertical="center"/>
    </xf>
    <xf numFmtId="1" fontId="5" fillId="18" borderId="33" xfId="0" applyNumberFormat="1" applyFont="1" applyFill="1" applyBorder="1" applyAlignment="1">
      <alignment horizontal="center" vertical="center"/>
    </xf>
    <xf numFmtId="1" fontId="5" fillId="18" borderId="5" xfId="0" applyNumberFormat="1" applyFont="1" applyFill="1" applyBorder="1" applyAlignment="1">
      <alignment horizontal="center" vertical="center"/>
    </xf>
    <xf numFmtId="1" fontId="10" fillId="18" borderId="59" xfId="0" applyNumberFormat="1" applyFont="1" applyFill="1" applyBorder="1" applyAlignment="1">
      <alignment horizontal="center" vertical="center"/>
    </xf>
    <xf numFmtId="1" fontId="10" fillId="18" borderId="34" xfId="0" applyNumberFormat="1" applyFont="1" applyFill="1" applyBorder="1" applyAlignment="1">
      <alignment horizontal="center" vertical="center"/>
    </xf>
    <xf numFmtId="1" fontId="10" fillId="18" borderId="1" xfId="0" applyNumberFormat="1" applyFont="1" applyFill="1" applyBorder="1" applyAlignment="1">
      <alignment horizontal="center" vertical="center"/>
    </xf>
    <xf numFmtId="1" fontId="10" fillId="18" borderId="11" xfId="0" applyNumberFormat="1" applyFont="1" applyFill="1" applyBorder="1" applyAlignment="1">
      <alignment horizontal="center" vertical="center"/>
    </xf>
    <xf numFmtId="3" fontId="4" fillId="18" borderId="111" xfId="0" applyNumberFormat="1" applyFont="1" applyFill="1" applyBorder="1" applyAlignment="1">
      <alignment horizontal="center" vertical="center"/>
    </xf>
    <xf numFmtId="3" fontId="4" fillId="18" borderId="12" xfId="0" applyNumberFormat="1" applyFont="1" applyFill="1" applyBorder="1" applyAlignment="1">
      <alignment horizontal="center" vertical="center"/>
    </xf>
    <xf numFmtId="3" fontId="4" fillId="18" borderId="23" xfId="0" applyNumberFormat="1" applyFont="1" applyFill="1" applyBorder="1" applyAlignment="1">
      <alignment horizontal="center" vertical="center"/>
    </xf>
    <xf numFmtId="3" fontId="4" fillId="18" borderId="0" xfId="0" applyNumberFormat="1" applyFont="1" applyFill="1" applyBorder="1" applyAlignment="1">
      <alignment horizontal="center" vertical="center"/>
    </xf>
    <xf numFmtId="2" fontId="9" fillId="18" borderId="111" xfId="0" applyNumberFormat="1" applyFont="1" applyFill="1" applyBorder="1" applyAlignment="1">
      <alignment horizontal="center" vertical="center"/>
    </xf>
    <xf numFmtId="2" fontId="9" fillId="18" borderId="12" xfId="0" applyNumberFormat="1" applyFont="1" applyFill="1" applyBorder="1" applyAlignment="1">
      <alignment horizontal="center" vertical="center"/>
    </xf>
    <xf numFmtId="2" fontId="9" fillId="18" borderId="23" xfId="0" applyNumberFormat="1" applyFont="1" applyFill="1" applyBorder="1" applyAlignment="1">
      <alignment horizontal="center" vertical="center"/>
    </xf>
    <xf numFmtId="2" fontId="9" fillId="18" borderId="0" xfId="0" applyNumberFormat="1" applyFont="1" applyFill="1" applyBorder="1" applyAlignment="1">
      <alignment horizontal="center" vertical="center"/>
    </xf>
    <xf numFmtId="2" fontId="9" fillId="18" borderId="153" xfId="0" applyNumberFormat="1" applyFont="1" applyFill="1" applyBorder="1" applyAlignment="1">
      <alignment horizontal="center" vertical="center"/>
    </xf>
    <xf numFmtId="2" fontId="9" fillId="18" borderId="82" xfId="0" applyNumberFormat="1" applyFont="1" applyFill="1" applyBorder="1" applyAlignment="1">
      <alignment horizontal="center" vertical="center"/>
    </xf>
    <xf numFmtId="2" fontId="9" fillId="18" borderId="118" xfId="0" applyNumberFormat="1" applyFont="1" applyFill="1" applyBorder="1" applyAlignment="1">
      <alignment horizontal="center" vertical="center"/>
    </xf>
    <xf numFmtId="2" fontId="9" fillId="18" borderId="75" xfId="0" applyNumberFormat="1" applyFont="1" applyFill="1" applyBorder="1" applyAlignment="1">
      <alignment horizontal="center" vertical="center"/>
    </xf>
    <xf numFmtId="166" fontId="5" fillId="18" borderId="66" xfId="0" applyNumberFormat="1" applyFont="1" applyFill="1" applyBorder="1" applyAlignment="1">
      <alignment horizontal="center" vertical="center"/>
    </xf>
    <xf numFmtId="166" fontId="5" fillId="18" borderId="103" xfId="0" applyNumberFormat="1" applyFont="1" applyFill="1" applyBorder="1" applyAlignment="1">
      <alignment horizontal="center" vertical="center"/>
    </xf>
    <xf numFmtId="166" fontId="5" fillId="18" borderId="67" xfId="0" applyNumberFormat="1" applyFont="1" applyFill="1" applyBorder="1" applyAlignment="1">
      <alignment horizontal="center" vertical="center"/>
    </xf>
    <xf numFmtId="166" fontId="5" fillId="18" borderId="208" xfId="0" applyNumberFormat="1" applyFont="1" applyFill="1" applyBorder="1" applyAlignment="1">
      <alignment horizontal="center" vertical="center"/>
    </xf>
    <xf numFmtId="1" fontId="5" fillId="18" borderId="59" xfId="0" applyNumberFormat="1" applyFont="1" applyFill="1" applyBorder="1" applyAlignment="1">
      <alignment horizontal="center" vertical="center"/>
    </xf>
    <xf numFmtId="1" fontId="5" fillId="18" borderId="34" xfId="0" applyNumberFormat="1" applyFont="1" applyFill="1" applyBorder="1" applyAlignment="1">
      <alignment horizontal="center" vertical="center"/>
    </xf>
    <xf numFmtId="1" fontId="5" fillId="18" borderId="1" xfId="0" applyNumberFormat="1" applyFont="1" applyFill="1" applyBorder="1" applyAlignment="1">
      <alignment horizontal="center" vertical="center"/>
    </xf>
    <xf numFmtId="1" fontId="5" fillId="18" borderId="11" xfId="0" applyNumberFormat="1" applyFont="1" applyFill="1" applyBorder="1" applyAlignment="1">
      <alignment horizontal="center" vertical="center"/>
    </xf>
    <xf numFmtId="3" fontId="6" fillId="18" borderId="59" xfId="0" applyNumberFormat="1" applyFont="1" applyFill="1" applyBorder="1" applyAlignment="1">
      <alignment horizontal="center" vertical="center"/>
    </xf>
    <xf numFmtId="3" fontId="6" fillId="18" borderId="34" xfId="0" applyNumberFormat="1" applyFont="1" applyFill="1" applyBorder="1" applyAlignment="1">
      <alignment horizontal="center" vertical="center"/>
    </xf>
    <xf numFmtId="3" fontId="6" fillId="18" borderId="1" xfId="0" applyNumberFormat="1" applyFont="1" applyFill="1" applyBorder="1" applyAlignment="1">
      <alignment horizontal="center" vertical="center"/>
    </xf>
    <xf numFmtId="3" fontId="6" fillId="18" borderId="11" xfId="0" applyNumberFormat="1" applyFont="1" applyFill="1" applyBorder="1" applyAlignment="1">
      <alignment horizontal="center" vertical="center"/>
    </xf>
    <xf numFmtId="3" fontId="177" fillId="18" borderId="59" xfId="0" applyNumberFormat="1" applyFont="1" applyFill="1" applyBorder="1" applyAlignment="1">
      <alignment horizontal="center" vertical="center"/>
    </xf>
    <xf numFmtId="3" fontId="177" fillId="18" borderId="34" xfId="0" applyNumberFormat="1" applyFont="1" applyFill="1" applyBorder="1" applyAlignment="1">
      <alignment horizontal="center" vertical="center"/>
    </xf>
    <xf numFmtId="3" fontId="177" fillId="18" borderId="1" xfId="0" applyNumberFormat="1" applyFont="1" applyFill="1" applyBorder="1" applyAlignment="1">
      <alignment horizontal="center" vertical="center"/>
    </xf>
    <xf numFmtId="171" fontId="8" fillId="4" borderId="39" xfId="0" applyNumberFormat="1" applyFont="1" applyFill="1" applyBorder="1" applyAlignment="1" applyProtection="1">
      <alignment vertical="center"/>
    </xf>
    <xf numFmtId="0" fontId="8" fillId="19" borderId="37" xfId="0" applyFont="1" applyFill="1" applyBorder="1" applyAlignment="1">
      <alignment horizontal="center"/>
    </xf>
    <xf numFmtId="0" fontId="8" fillId="19" borderId="161" xfId="0" applyFont="1" applyFill="1" applyBorder="1" applyAlignment="1">
      <alignment horizontal="center"/>
    </xf>
    <xf numFmtId="0" fontId="8" fillId="19" borderId="41" xfId="0" applyFont="1" applyFill="1" applyBorder="1" applyAlignment="1">
      <alignment horizontal="center"/>
    </xf>
    <xf numFmtId="188" fontId="0" fillId="0" borderId="220" xfId="0" applyNumberFormat="1" applyBorder="1" applyAlignment="1" applyProtection="1">
      <alignment vertical="center"/>
    </xf>
    <xf numFmtId="0" fontId="0" fillId="0" borderId="0" xfId="0"/>
    <xf numFmtId="3" fontId="8" fillId="2" borderId="23" xfId="2" applyNumberFormat="1" applyBorder="1">
      <alignment horizontal="right" vertical="center"/>
    </xf>
    <xf numFmtId="0" fontId="8" fillId="2" borderId="23" xfId="2" applyBorder="1" applyAlignment="1">
      <alignment horizontal="center" vertical="center"/>
    </xf>
    <xf numFmtId="3" fontId="6" fillId="0" borderId="23" xfId="0" applyNumberFormat="1" applyFont="1" applyBorder="1"/>
    <xf numFmtId="1" fontId="0" fillId="0" borderId="12" xfId="0" applyNumberFormat="1" applyBorder="1"/>
    <xf numFmtId="1" fontId="34" fillId="0" borderId="12" xfId="0" applyNumberFormat="1" applyFont="1" applyBorder="1"/>
    <xf numFmtId="0" fontId="2" fillId="0" borderId="2" xfId="0" applyFont="1" applyBorder="1"/>
    <xf numFmtId="0" fontId="6" fillId="0" borderId="1" xfId="0" applyFont="1" applyBorder="1"/>
    <xf numFmtId="2" fontId="6" fillId="0" borderId="1" xfId="0" applyNumberFormat="1" applyFont="1" applyBorder="1" applyAlignment="1">
      <alignment horizontal="center"/>
    </xf>
    <xf numFmtId="199" fontId="130" fillId="4" borderId="10" xfId="0" applyNumberFormat="1" applyFont="1" applyFill="1" applyBorder="1"/>
    <xf numFmtId="0" fontId="0" fillId="0" borderId="2" xfId="0" applyFill="1" applyBorder="1"/>
    <xf numFmtId="0" fontId="2" fillId="0" borderId="33" xfId="0" applyFont="1" applyBorder="1" applyAlignment="1">
      <alignment horizontal="center"/>
    </xf>
    <xf numFmtId="202" fontId="191" fillId="4" borderId="38" xfId="0" applyNumberFormat="1" applyFont="1" applyFill="1" applyBorder="1" applyAlignment="1">
      <alignment horizontal="center"/>
    </xf>
    <xf numFmtId="201" fontId="192" fillId="4" borderId="38" xfId="0" applyNumberFormat="1" applyFont="1" applyFill="1" applyBorder="1" applyAlignment="1">
      <alignment horizontal="center"/>
    </xf>
    <xf numFmtId="0" fontId="0" fillId="19" borderId="0" xfId="0" applyFill="1"/>
    <xf numFmtId="0" fontId="0" fillId="19" borderId="0" xfId="0" applyFill="1" applyAlignment="1" applyProtection="1">
      <alignment vertical="center"/>
    </xf>
    <xf numFmtId="14" fontId="0" fillId="20" borderId="0" xfId="0" applyNumberFormat="1" applyFill="1" applyAlignment="1" applyProtection="1">
      <alignment horizontal="center" vertical="center" shrinkToFit="1"/>
      <protection locked="0"/>
    </xf>
    <xf numFmtId="2" fontId="86" fillId="0" borderId="1" xfId="6" applyFont="1">
      <alignment vertical="center" shrinkToFit="1"/>
      <protection locked="0"/>
    </xf>
    <xf numFmtId="3" fontId="113" fillId="0" borderId="0" xfId="0" applyNumberFormat="1" applyFont="1"/>
    <xf numFmtId="0" fontId="1" fillId="0" borderId="4" xfId="0" applyFont="1" applyBorder="1" applyAlignment="1" applyProtection="1">
      <alignment vertical="center"/>
    </xf>
    <xf numFmtId="9" fontId="8" fillId="2" borderId="27" xfId="7" applyFont="1" applyFill="1" applyBorder="1" applyAlignment="1" applyProtection="1">
      <alignment horizontal="right" vertical="center"/>
      <protection locked="0"/>
    </xf>
    <xf numFmtId="0" fontId="21" fillId="10" borderId="2" xfId="0" applyFont="1" applyFill="1" applyBorder="1" applyProtection="1">
      <protection locked="0"/>
    </xf>
    <xf numFmtId="0" fontId="21" fillId="10" borderId="24" xfId="0" applyFont="1" applyFill="1" applyBorder="1" applyProtection="1">
      <protection locked="0"/>
    </xf>
    <xf numFmtId="0" fontId="21" fillId="10" borderId="3" xfId="0" applyFont="1" applyFill="1" applyBorder="1" applyProtection="1">
      <protection locked="0"/>
    </xf>
    <xf numFmtId="179" fontId="15" fillId="21" borderId="72" xfId="7" applyNumberFormat="1" applyFont="1" applyFill="1" applyBorder="1" applyAlignment="1" applyProtection="1">
      <alignment horizontal="right" vertical="center"/>
      <protection locked="0"/>
    </xf>
    <xf numFmtId="215" fontId="2" fillId="21" borderId="0" xfId="0" applyNumberFormat="1" applyFont="1" applyFill="1" applyBorder="1" applyAlignment="1" applyProtection="1">
      <alignment vertical="center"/>
    </xf>
    <xf numFmtId="0" fontId="15" fillId="0" borderId="25" xfId="0" applyFont="1" applyBorder="1" applyAlignment="1" applyProtection="1">
      <alignment vertical="center"/>
    </xf>
    <xf numFmtId="0" fontId="2" fillId="0" borderId="0" xfId="0" applyFont="1" applyProtection="1"/>
    <xf numFmtId="0" fontId="1" fillId="0" borderId="0" xfId="0" applyFont="1" applyBorder="1" applyAlignment="1" applyProtection="1">
      <alignment vertical="center"/>
    </xf>
    <xf numFmtId="2" fontId="54" fillId="0" borderId="3" xfId="0" applyNumberFormat="1" applyFont="1" applyBorder="1" applyAlignment="1">
      <alignment vertical="center"/>
    </xf>
    <xf numFmtId="0" fontId="188" fillId="0" borderId="4" xfId="0" applyFont="1" applyBorder="1" applyAlignment="1">
      <alignment horizontal="right" vertical="center"/>
    </xf>
    <xf numFmtId="2" fontId="27" fillId="0" borderId="2" xfId="0" applyNumberFormat="1" applyFont="1" applyBorder="1" applyAlignment="1">
      <alignment vertical="center"/>
    </xf>
    <xf numFmtId="0" fontId="39" fillId="19" borderId="13" xfId="0" applyFont="1" applyFill="1" applyBorder="1" applyAlignment="1">
      <alignment vertical="center"/>
    </xf>
    <xf numFmtId="0" fontId="39" fillId="19" borderId="12" xfId="0" applyFont="1" applyFill="1" applyBorder="1" applyAlignment="1">
      <alignment vertical="center"/>
    </xf>
    <xf numFmtId="0" fontId="188" fillId="0" borderId="12" xfId="0" applyFont="1" applyBorder="1" applyAlignment="1">
      <alignment horizontal="right" vertical="center"/>
    </xf>
    <xf numFmtId="0" fontId="9" fillId="0" borderId="6" xfId="0" applyFont="1" applyBorder="1" applyAlignment="1">
      <alignment horizontal="right" vertical="center"/>
    </xf>
    <xf numFmtId="0" fontId="189" fillId="0" borderId="6" xfId="0" applyFont="1" applyBorder="1" applyAlignment="1">
      <alignment horizontal="right" vertical="center"/>
    </xf>
    <xf numFmtId="0" fontId="193" fillId="4" borderId="0" xfId="8" applyFont="1" applyFill="1" applyBorder="1" applyAlignment="1" applyProtection="1">
      <alignment horizontal="right" vertical="center"/>
    </xf>
    <xf numFmtId="0" fontId="77" fillId="4" borderId="0" xfId="8" applyFont="1" applyFill="1" applyBorder="1" applyAlignment="1" applyProtection="1">
      <alignment horizontal="right" vertical="center"/>
    </xf>
    <xf numFmtId="0" fontId="193" fillId="4" borderId="75" xfId="8" applyFont="1" applyFill="1" applyBorder="1" applyAlignment="1" applyProtection="1">
      <alignment horizontal="right" vertical="center"/>
    </xf>
    <xf numFmtId="0" fontId="77" fillId="4" borderId="75" xfId="8" applyFont="1" applyFill="1" applyBorder="1" applyAlignment="1" applyProtection="1">
      <alignment horizontal="right" vertical="center"/>
    </xf>
    <xf numFmtId="2" fontId="194" fillId="0" borderId="1" xfId="6" applyFont="1" applyProtection="1">
      <alignment vertical="center" shrinkToFit="1"/>
    </xf>
    <xf numFmtId="2" fontId="194" fillId="0" borderId="1" xfId="6" applyFont="1">
      <alignment vertical="center" shrinkToFit="1"/>
      <protection locked="0"/>
    </xf>
    <xf numFmtId="0" fontId="1" fillId="0" borderId="0" xfId="0" applyFont="1" applyAlignment="1" applyProtection="1">
      <alignment vertical="center"/>
    </xf>
    <xf numFmtId="0" fontId="0" fillId="0" borderId="18" xfId="0" applyBorder="1" applyAlignment="1" applyProtection="1">
      <alignment vertical="center"/>
    </xf>
    <xf numFmtId="0" fontId="34" fillId="0" borderId="88" xfId="8" applyFont="1" applyBorder="1" applyAlignment="1" applyProtection="1">
      <alignment vertical="center"/>
    </xf>
    <xf numFmtId="0" fontId="161" fillId="0" borderId="18" xfId="8" applyFont="1" applyBorder="1" applyAlignment="1" applyProtection="1">
      <alignment vertical="center"/>
    </xf>
    <xf numFmtId="14" fontId="0" fillId="0" borderId="0" xfId="0" applyNumberFormat="1" applyFill="1" applyAlignment="1" applyProtection="1">
      <alignment horizontal="center" vertical="center" shrinkToFit="1"/>
      <protection locked="0"/>
    </xf>
    <xf numFmtId="171" fontId="8" fillId="22" borderId="28" xfId="0" applyNumberFormat="1" applyFont="1" applyFill="1" applyBorder="1" applyAlignment="1" applyProtection="1">
      <alignment vertical="center"/>
    </xf>
    <xf numFmtId="171" fontId="8" fillId="22" borderId="57" xfId="0" applyNumberFormat="1" applyFont="1" applyFill="1" applyBorder="1" applyAlignment="1" applyProtection="1">
      <alignment vertical="center"/>
    </xf>
    <xf numFmtId="178" fontId="8" fillId="22" borderId="43" xfId="0" applyNumberFormat="1" applyFont="1" applyFill="1" applyBorder="1" applyAlignment="1" applyProtection="1">
      <alignment vertical="center"/>
    </xf>
    <xf numFmtId="171" fontId="88" fillId="2" borderId="39" xfId="0" applyNumberFormat="1" applyFont="1" applyFill="1" applyBorder="1" applyAlignment="1" applyProtection="1">
      <alignment vertical="center"/>
      <protection locked="0"/>
    </xf>
    <xf numFmtId="171" fontId="88" fillId="2" borderId="65" xfId="0" applyNumberFormat="1" applyFont="1" applyFill="1" applyBorder="1" applyAlignment="1" applyProtection="1">
      <alignment vertical="center"/>
      <protection locked="0"/>
    </xf>
    <xf numFmtId="171" fontId="8" fillId="23" borderId="62" xfId="0" applyNumberFormat="1" applyFont="1" applyFill="1" applyBorder="1" applyAlignment="1" applyProtection="1">
      <alignment vertical="center"/>
    </xf>
    <xf numFmtId="171" fontId="8" fillId="23" borderId="27" xfId="0" applyNumberFormat="1" applyFont="1" applyFill="1" applyBorder="1" applyAlignment="1" applyProtection="1">
      <alignment vertical="center"/>
    </xf>
    <xf numFmtId="171" fontId="8" fillId="23" borderId="28" xfId="0" applyNumberFormat="1" applyFont="1" applyFill="1" applyBorder="1" applyAlignment="1" applyProtection="1">
      <alignment vertical="center"/>
    </xf>
    <xf numFmtId="171" fontId="88" fillId="2" borderId="63" xfId="0" applyNumberFormat="1" applyFont="1" applyFill="1" applyBorder="1" applyAlignment="1" applyProtection="1">
      <alignment vertical="center"/>
      <protection locked="0"/>
    </xf>
    <xf numFmtId="171" fontId="8" fillId="2" borderId="40" xfId="0" applyNumberFormat="1" applyFont="1" applyFill="1" applyBorder="1" applyAlignment="1" applyProtection="1">
      <alignment vertical="center"/>
      <protection locked="0"/>
    </xf>
    <xf numFmtId="178" fontId="8" fillId="4" borderId="0" xfId="0" applyNumberFormat="1" applyFont="1" applyFill="1" applyBorder="1" applyAlignment="1" applyProtection="1">
      <alignment vertical="top"/>
    </xf>
    <xf numFmtId="0" fontId="15" fillId="0" borderId="0" xfId="0" applyFont="1" applyBorder="1" applyAlignment="1" applyProtection="1">
      <alignment horizontal="center" vertical="top"/>
    </xf>
    <xf numFmtId="0" fontId="8" fillId="0" borderId="0" xfId="0" applyFont="1" applyBorder="1" applyAlignment="1" applyProtection="1">
      <alignment horizontal="center"/>
    </xf>
    <xf numFmtId="0" fontId="15" fillId="0" borderId="0" xfId="0" applyFont="1" applyBorder="1" applyAlignment="1" applyProtection="1">
      <alignment horizontal="center" vertical="center"/>
    </xf>
    <xf numFmtId="0" fontId="8" fillId="0" borderId="5" xfId="0" applyFont="1" applyBorder="1" applyAlignment="1" applyProtection="1">
      <alignment horizontal="center" vertical="top"/>
    </xf>
    <xf numFmtId="0" fontId="6" fillId="0" borderId="26" xfId="0" applyFont="1" applyBorder="1" applyAlignment="1" applyProtection="1">
      <alignment horizontal="center" vertical="center"/>
    </xf>
    <xf numFmtId="178" fontId="8" fillId="4" borderId="22" xfId="0" applyNumberFormat="1" applyFont="1" applyFill="1" applyBorder="1" applyAlignment="1" applyProtection="1">
      <alignment vertical="top"/>
    </xf>
    <xf numFmtId="2" fontId="7" fillId="4" borderId="27" xfId="5" applyNumberFormat="1" applyFont="1" applyFill="1" applyBorder="1" applyAlignment="1" applyProtection="1">
      <alignment vertical="center"/>
    </xf>
    <xf numFmtId="2" fontId="7" fillId="0" borderId="27" xfId="5" applyNumberFormat="1" applyFont="1" applyFill="1" applyBorder="1" applyAlignment="1" applyProtection="1">
      <alignment vertical="center"/>
    </xf>
    <xf numFmtId="2" fontId="8" fillId="2" borderId="27" xfId="5" applyNumberFormat="1" applyFont="1" applyFill="1" applyBorder="1" applyAlignment="1" applyProtection="1">
      <alignment vertical="center"/>
      <protection locked="0"/>
    </xf>
    <xf numFmtId="4" fontId="2" fillId="24" borderId="0" xfId="3" applyFill="1">
      <alignment vertical="center"/>
    </xf>
    <xf numFmtId="0" fontId="0" fillId="24" borderId="0" xfId="0" applyFill="1"/>
    <xf numFmtId="4" fontId="2" fillId="25" borderId="0" xfId="3" applyFill="1">
      <alignment vertical="center"/>
    </xf>
    <xf numFmtId="0" fontId="0" fillId="25" borderId="0" xfId="0" applyFill="1"/>
    <xf numFmtId="171" fontId="88" fillId="2" borderId="40" xfId="0" applyNumberFormat="1" applyFont="1" applyFill="1" applyBorder="1" applyAlignment="1" applyProtection="1">
      <alignment vertical="center"/>
      <protection locked="0"/>
    </xf>
    <xf numFmtId="0" fontId="194" fillId="0" borderId="0" xfId="0" applyFont="1"/>
    <xf numFmtId="166" fontId="8" fillId="0" borderId="219" xfId="0" applyNumberFormat="1" applyFont="1" applyBorder="1" applyAlignment="1">
      <alignment horizontal="center"/>
    </xf>
    <xf numFmtId="171" fontId="8" fillId="0" borderId="65" xfId="0" applyNumberFormat="1" applyFont="1" applyBorder="1" applyAlignment="1" applyProtection="1">
      <alignment horizontal="right" vertical="center"/>
    </xf>
    <xf numFmtId="166" fontId="8" fillId="0" borderId="42" xfId="0" applyNumberFormat="1" applyFont="1" applyBorder="1" applyAlignment="1">
      <alignment horizontal="center"/>
    </xf>
    <xf numFmtId="166" fontId="8" fillId="0" borderId="71" xfId="0" applyNumberFormat="1" applyFont="1" applyBorder="1" applyAlignment="1">
      <alignment horizontal="center"/>
    </xf>
    <xf numFmtId="166" fontId="8" fillId="0" borderId="141" xfId="0" applyNumberFormat="1" applyFont="1" applyBorder="1" applyAlignment="1">
      <alignment horizontal="center"/>
    </xf>
    <xf numFmtId="166" fontId="8" fillId="0" borderId="186" xfId="0" applyNumberFormat="1" applyFont="1" applyBorder="1" applyAlignment="1">
      <alignment horizontal="center"/>
    </xf>
    <xf numFmtId="178" fontId="8" fillId="24" borderId="23" xfId="0" applyNumberFormat="1" applyFont="1" applyFill="1" applyBorder="1" applyAlignment="1" applyProtection="1">
      <alignment vertical="center"/>
    </xf>
    <xf numFmtId="171" fontId="8" fillId="2" borderId="171" xfId="0" applyNumberFormat="1" applyFont="1" applyFill="1" applyBorder="1" applyAlignment="1" applyProtection="1">
      <alignment horizontal="right" vertical="center"/>
      <protection locked="0"/>
    </xf>
    <xf numFmtId="171" fontId="8" fillId="2" borderId="39" xfId="0" applyNumberFormat="1" applyFont="1" applyFill="1" applyBorder="1" applyAlignment="1" applyProtection="1">
      <alignment horizontal="right" vertical="center"/>
      <protection locked="0"/>
    </xf>
    <xf numFmtId="171" fontId="8" fillId="2" borderId="40" xfId="0" applyNumberFormat="1" applyFont="1" applyFill="1" applyBorder="1" applyAlignment="1" applyProtection="1">
      <alignment horizontal="right" vertical="center"/>
      <protection locked="0"/>
    </xf>
    <xf numFmtId="0" fontId="2" fillId="0" borderId="4" xfId="0" applyFont="1" applyBorder="1" applyAlignment="1" applyProtection="1">
      <alignment horizontal="centerContinuous" vertical="center"/>
    </xf>
    <xf numFmtId="0" fontId="17" fillId="0" borderId="1" xfId="0" applyFont="1" applyBorder="1" applyAlignment="1" applyProtection="1">
      <alignment horizontal="centerContinuous" vertical="center" wrapText="1"/>
    </xf>
    <xf numFmtId="0" fontId="17" fillId="0" borderId="20" xfId="0" applyFont="1" applyBorder="1" applyAlignment="1" applyProtection="1">
      <alignment horizontal="centerContinuous" vertical="center" wrapText="1"/>
    </xf>
    <xf numFmtId="0" fontId="6" fillId="0" borderId="20" xfId="0" applyFont="1" applyFill="1" applyBorder="1" applyAlignment="1" applyProtection="1">
      <alignment horizontal="centerContinuous" vertical="center"/>
    </xf>
    <xf numFmtId="0" fontId="8" fillId="0" borderId="1" xfId="0" applyFont="1" applyBorder="1" applyAlignment="1" applyProtection="1">
      <alignment horizontal="center" vertical="center"/>
    </xf>
    <xf numFmtId="0" fontId="7" fillId="0" borderId="1" xfId="0" applyFont="1" applyBorder="1" applyAlignment="1" applyProtection="1">
      <alignment horizontal="center" vertical="center"/>
    </xf>
    <xf numFmtId="0" fontId="6" fillId="4" borderId="1" xfId="0" applyNumberFormat="1" applyFont="1" applyFill="1" applyBorder="1" applyAlignment="1" applyProtection="1">
      <alignment horizontal="center" vertical="center"/>
    </xf>
    <xf numFmtId="0" fontId="15" fillId="0" borderId="33" xfId="0" applyFont="1" applyBorder="1" applyAlignment="1" applyProtection="1">
      <alignment vertical="center"/>
    </xf>
    <xf numFmtId="0" fontId="17" fillId="0" borderId="60" xfId="0" applyFont="1" applyBorder="1" applyAlignment="1" applyProtection="1">
      <alignment horizontal="center" vertical="center"/>
    </xf>
    <xf numFmtId="0" fontId="17" fillId="0" borderId="69" xfId="0" applyFont="1" applyBorder="1" applyAlignment="1" applyProtection="1">
      <alignment horizontal="center" vertical="center"/>
    </xf>
    <xf numFmtId="0" fontId="17" fillId="0" borderId="70" xfId="0" applyFont="1" applyBorder="1" applyAlignment="1" applyProtection="1">
      <alignment horizontal="center" vertical="center"/>
    </xf>
    <xf numFmtId="0" fontId="23" fillId="0" borderId="1" xfId="0" applyFont="1" applyBorder="1" applyAlignment="1" applyProtection="1">
      <alignment vertical="center"/>
    </xf>
    <xf numFmtId="0" fontId="23" fillId="0" borderId="33" xfId="0" applyFont="1" applyBorder="1" applyAlignment="1" applyProtection="1">
      <alignment vertical="center"/>
    </xf>
    <xf numFmtId="0" fontId="23" fillId="0" borderId="205" xfId="0" applyFont="1" applyBorder="1" applyAlignment="1" applyProtection="1">
      <alignment vertical="center"/>
    </xf>
    <xf numFmtId="0" fontId="23" fillId="0" borderId="206" xfId="0" applyFont="1" applyBorder="1" applyAlignment="1" applyProtection="1">
      <alignment vertical="center"/>
    </xf>
    <xf numFmtId="0" fontId="17" fillId="0" borderId="1" xfId="0" applyFont="1" applyBorder="1" applyAlignment="1" applyProtection="1">
      <alignment horizontal="center" vertical="center"/>
    </xf>
    <xf numFmtId="0" fontId="23" fillId="0" borderId="24" xfId="0" applyFont="1" applyBorder="1" applyAlignment="1" applyProtection="1">
      <alignment vertical="center"/>
    </xf>
    <xf numFmtId="0" fontId="23" fillId="0" borderId="207" xfId="0" applyFont="1" applyBorder="1" applyAlignment="1" applyProtection="1">
      <alignment vertical="center"/>
    </xf>
    <xf numFmtId="0" fontId="0" fillId="0" borderId="0" xfId="0"/>
    <xf numFmtId="0" fontId="25" fillId="4" borderId="1" xfId="0" applyFont="1" applyFill="1" applyBorder="1" applyAlignment="1" applyProtection="1">
      <alignment vertical="center"/>
    </xf>
    <xf numFmtId="0" fontId="194" fillId="0" borderId="1" xfId="0" applyFont="1" applyBorder="1"/>
    <xf numFmtId="0" fontId="194" fillId="0" borderId="7" xfId="0" applyFont="1" applyBorder="1"/>
    <xf numFmtId="1" fontId="193" fillId="4" borderId="8" xfId="0" applyNumberFormat="1" applyFont="1" applyFill="1" applyBorder="1" applyAlignment="1" applyProtection="1">
      <alignment horizontal="center" vertical="center"/>
    </xf>
    <xf numFmtId="0" fontId="194" fillId="0" borderId="8" xfId="0" applyFont="1" applyBorder="1" applyAlignment="1" applyProtection="1">
      <alignment vertical="center"/>
    </xf>
    <xf numFmtId="0" fontId="194" fillId="0" borderId="74" xfId="0" applyFont="1" applyBorder="1"/>
    <xf numFmtId="177" fontId="194" fillId="4" borderId="75" xfId="7" applyNumberFormat="1" applyFont="1" applyFill="1" applyBorder="1" applyAlignment="1" applyProtection="1">
      <alignment horizontal="center" vertical="center"/>
    </xf>
    <xf numFmtId="0" fontId="194" fillId="0" borderId="75" xfId="0" applyFont="1" applyBorder="1" applyAlignment="1" applyProtection="1">
      <alignment horizontal="center" vertical="center"/>
    </xf>
    <xf numFmtId="0" fontId="194" fillId="0" borderId="33" xfId="0" applyFont="1" applyBorder="1"/>
    <xf numFmtId="177" fontId="194" fillId="4" borderId="33" xfId="7" applyNumberFormat="1" applyFont="1" applyFill="1" applyBorder="1" applyAlignment="1" applyProtection="1">
      <alignment horizontal="center" vertical="center"/>
    </xf>
    <xf numFmtId="0" fontId="194" fillId="0" borderId="33" xfId="0" applyFont="1" applyBorder="1" applyAlignment="1" applyProtection="1">
      <alignment horizontal="center" vertical="center"/>
    </xf>
    <xf numFmtId="0" fontId="194" fillId="0" borderId="33" xfId="0" applyFont="1" applyBorder="1" applyAlignment="1" applyProtection="1">
      <alignment vertical="center"/>
    </xf>
    <xf numFmtId="0" fontId="196" fillId="0" borderId="1" xfId="0" applyFont="1" applyBorder="1" applyAlignment="1" applyProtection="1">
      <alignment vertical="center"/>
    </xf>
    <xf numFmtId="180" fontId="197" fillId="4" borderId="1" xfId="7" applyNumberFormat="1" applyFont="1" applyFill="1" applyBorder="1" applyAlignment="1" applyProtection="1">
      <alignment horizontal="center" vertical="center"/>
    </xf>
    <xf numFmtId="0" fontId="194" fillId="0" borderId="1" xfId="0" applyFont="1" applyBorder="1" applyAlignment="1" applyProtection="1">
      <alignment horizontal="center" vertical="center"/>
    </xf>
    <xf numFmtId="0" fontId="194" fillId="0" borderId="1" xfId="0" applyFont="1" applyBorder="1" applyAlignment="1" applyProtection="1">
      <alignment vertical="center"/>
    </xf>
    <xf numFmtId="0" fontId="194" fillId="4" borderId="1" xfId="0" applyFont="1" applyFill="1" applyBorder="1" applyAlignment="1" applyProtection="1">
      <alignment horizontal="center" vertical="center"/>
    </xf>
    <xf numFmtId="0" fontId="194" fillId="0" borderId="0" xfId="0" applyFont="1" applyAlignment="1" applyProtection="1">
      <alignment vertical="center"/>
    </xf>
    <xf numFmtId="170" fontId="194" fillId="0" borderId="0" xfId="0" applyNumberFormat="1" applyFont="1" applyAlignment="1" applyProtection="1">
      <alignment vertical="center"/>
    </xf>
    <xf numFmtId="0" fontId="192" fillId="0" borderId="0" xfId="0" applyFont="1"/>
    <xf numFmtId="0" fontId="194" fillId="4" borderId="1" xfId="0" applyFont="1" applyFill="1" applyBorder="1" applyAlignment="1" applyProtection="1">
      <alignment vertical="center"/>
    </xf>
    <xf numFmtId="0" fontId="194" fillId="4" borderId="0" xfId="0" applyFont="1" applyFill="1" applyBorder="1" applyAlignment="1" applyProtection="1">
      <alignment horizontal="right" vertical="center"/>
    </xf>
    <xf numFmtId="166" fontId="194" fillId="0" borderId="4" xfId="0" applyNumberFormat="1" applyFont="1" applyFill="1" applyBorder="1"/>
    <xf numFmtId="166" fontId="194" fillId="0" borderId="0" xfId="0" applyNumberFormat="1" applyFont="1" applyFill="1" applyBorder="1"/>
    <xf numFmtId="0" fontId="194" fillId="0" borderId="0" xfId="0" applyFont="1" applyBorder="1"/>
    <xf numFmtId="0" fontId="25" fillId="4" borderId="4" xfId="0" applyFont="1" applyFill="1" applyBorder="1" applyAlignment="1" applyProtection="1">
      <alignment horizontal="right" vertical="center"/>
    </xf>
    <xf numFmtId="0" fontId="194" fillId="4" borderId="0" xfId="0" applyFont="1" applyFill="1" applyBorder="1" applyAlignment="1" applyProtection="1">
      <alignment vertical="center"/>
    </xf>
    <xf numFmtId="0" fontId="194" fillId="0" borderId="0" xfId="0" applyFont="1" applyFill="1" applyBorder="1"/>
    <xf numFmtId="171" fontId="8" fillId="4" borderId="1" xfId="0" applyNumberFormat="1" applyFont="1" applyFill="1" applyBorder="1" applyAlignment="1" applyProtection="1">
      <alignment vertical="center"/>
    </xf>
    <xf numFmtId="171" fontId="8" fillId="2" borderId="1" xfId="0" applyNumberFormat="1" applyFont="1" applyFill="1" applyBorder="1" applyAlignment="1" applyProtection="1">
      <alignment vertical="center"/>
      <protection locked="0"/>
    </xf>
    <xf numFmtId="175" fontId="8" fillId="4" borderId="1" xfId="0" applyNumberFormat="1" applyFont="1" applyFill="1" applyBorder="1" applyAlignment="1" applyProtection="1">
      <alignment vertical="center"/>
    </xf>
    <xf numFmtId="175" fontId="8" fillId="0" borderId="1" xfId="0" applyNumberFormat="1" applyFont="1" applyBorder="1" applyAlignment="1" applyProtection="1">
      <alignment vertical="center"/>
    </xf>
    <xf numFmtId="0" fontId="12" fillId="0" borderId="1" xfId="0" applyFont="1" applyBorder="1" applyAlignment="1" applyProtection="1">
      <alignment horizontal="right" vertical="center"/>
    </xf>
    <xf numFmtId="0" fontId="13" fillId="0" borderId="34" xfId="0" applyFont="1" applyBorder="1" applyAlignment="1" applyProtection="1">
      <alignment vertical="center"/>
    </xf>
    <xf numFmtId="0" fontId="6" fillId="0" borderId="34" xfId="0" applyFont="1" applyBorder="1" applyAlignment="1" applyProtection="1">
      <alignment vertical="center"/>
    </xf>
    <xf numFmtId="0" fontId="198" fillId="0" borderId="0" xfId="0" applyFont="1"/>
    <xf numFmtId="171" fontId="198" fillId="4" borderId="0" xfId="7" applyNumberFormat="1" applyFont="1" applyFill="1" applyBorder="1" applyAlignment="1" applyProtection="1">
      <alignment horizontal="center" vertical="center"/>
    </xf>
    <xf numFmtId="0" fontId="198" fillId="0" borderId="0" xfId="0" applyFont="1" applyAlignment="1" applyProtection="1">
      <alignment vertical="center"/>
    </xf>
    <xf numFmtId="0" fontId="0" fillId="0" borderId="0" xfId="0"/>
    <xf numFmtId="0" fontId="199" fillId="0" borderId="0" xfId="0" applyFont="1"/>
    <xf numFmtId="0" fontId="0" fillId="0" borderId="222" xfId="0" applyBorder="1"/>
    <xf numFmtId="0" fontId="0" fillId="0" borderId="221" xfId="0" applyBorder="1"/>
    <xf numFmtId="3" fontId="0" fillId="0" borderId="222" xfId="0" applyNumberFormat="1" applyBorder="1"/>
    <xf numFmtId="0" fontId="2" fillId="0" borderId="222" xfId="0" applyFont="1" applyBorder="1"/>
    <xf numFmtId="0" fontId="2" fillId="0" borderId="222" xfId="0" applyFont="1" applyBorder="1" applyAlignment="1">
      <alignment horizontal="center"/>
    </xf>
    <xf numFmtId="3" fontId="0" fillId="0" borderId="221" xfId="0" applyNumberFormat="1" applyBorder="1"/>
    <xf numFmtId="171" fontId="8" fillId="2" borderId="167" xfId="0" applyNumberFormat="1" applyFont="1" applyFill="1" applyBorder="1" applyAlignment="1" applyProtection="1">
      <alignment vertical="center"/>
      <protection locked="0"/>
    </xf>
    <xf numFmtId="0" fontId="80" fillId="0" borderId="0" xfId="0" applyFont="1" applyAlignment="1">
      <alignment horizontal="center"/>
    </xf>
    <xf numFmtId="0" fontId="138" fillId="3" borderId="24" xfId="4" applyFont="1" applyFill="1" applyBorder="1" applyAlignment="1" applyProtection="1">
      <alignment horizontal="center" wrapText="1"/>
    </xf>
    <xf numFmtId="0" fontId="138" fillId="3" borderId="34" xfId="4" applyFont="1" applyFill="1" applyBorder="1" applyAlignment="1" applyProtection="1">
      <alignment horizontal="center" wrapText="1"/>
    </xf>
    <xf numFmtId="0" fontId="8" fillId="0" borderId="0" xfId="0" applyFont="1" applyAlignment="1" applyProtection="1">
      <alignment horizontal="left" wrapText="1"/>
    </xf>
    <xf numFmtId="0" fontId="8" fillId="0" borderId="0" xfId="0" applyFont="1" applyAlignment="1" applyProtection="1">
      <alignment wrapText="1"/>
    </xf>
    <xf numFmtId="0" fontId="8" fillId="0" borderId="0" xfId="0" applyFont="1" applyAlignment="1"/>
    <xf numFmtId="0" fontId="8" fillId="0" borderId="0" xfId="0" applyFont="1" applyAlignment="1" applyProtection="1">
      <alignment horizontal="left" vertical="center" wrapText="1"/>
    </xf>
    <xf numFmtId="0" fontId="8" fillId="0" borderId="0" xfId="0" applyFont="1" applyAlignment="1" applyProtection="1">
      <alignment horizontal="left" vertical="center"/>
    </xf>
    <xf numFmtId="0" fontId="8" fillId="0" borderId="0" xfId="0" applyFont="1" applyAlignment="1" applyProtection="1">
      <alignment horizontal="left"/>
    </xf>
    <xf numFmtId="0" fontId="6" fillId="0" borderId="24"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34" xfId="0" applyFont="1" applyBorder="1" applyAlignment="1" applyProtection="1">
      <alignment horizontal="center" vertical="center" wrapText="1"/>
    </xf>
    <xf numFmtId="0" fontId="8" fillId="0" borderId="0" xfId="0" applyFont="1" applyBorder="1" applyAlignment="1" applyProtection="1">
      <alignment horizontal="left" vertical="center"/>
    </xf>
    <xf numFmtId="0" fontId="15" fillId="0" borderId="75" xfId="0" applyFont="1" applyBorder="1" applyAlignment="1" applyProtection="1">
      <alignment horizontal="center" vertical="center"/>
    </xf>
    <xf numFmtId="0" fontId="0" fillId="0" borderId="75" xfId="0" applyBorder="1" applyAlignment="1">
      <alignment horizontal="center" vertical="center"/>
    </xf>
    <xf numFmtId="0" fontId="2" fillId="9" borderId="0" xfId="0" applyFont="1" applyFill="1" applyAlignment="1" applyProtection="1">
      <alignment vertical="top" wrapText="1"/>
    </xf>
    <xf numFmtId="0" fontId="0" fillId="9" borderId="0" xfId="0" applyFill="1" applyAlignment="1">
      <alignment vertical="top" wrapText="1"/>
    </xf>
    <xf numFmtId="0" fontId="0" fillId="9" borderId="5" xfId="0" applyFill="1" applyBorder="1" applyAlignment="1">
      <alignment vertical="top" wrapText="1"/>
    </xf>
    <xf numFmtId="3" fontId="27" fillId="0" borderId="0" xfId="0" applyNumberFormat="1" applyFont="1" applyAlignment="1">
      <alignment horizontal="left"/>
    </xf>
    <xf numFmtId="0" fontId="20" fillId="0" borderId="45" xfId="0" applyFont="1" applyBorder="1" applyAlignment="1">
      <alignment horizontal="center" vertical="center"/>
    </xf>
    <xf numFmtId="0" fontId="20" fillId="0" borderId="11" xfId="0" applyFont="1" applyBorder="1" applyAlignment="1">
      <alignment horizontal="center" vertical="center"/>
    </xf>
    <xf numFmtId="0" fontId="20" fillId="0" borderId="34" xfId="0" applyFont="1" applyBorder="1" applyAlignment="1">
      <alignment horizontal="center" vertical="center"/>
    </xf>
    <xf numFmtId="0" fontId="20" fillId="0" borderId="24" xfId="0" applyFont="1" applyBorder="1" applyAlignment="1">
      <alignment horizontal="center" vertical="center"/>
    </xf>
    <xf numFmtId="3" fontId="8" fillId="0" borderId="217" xfId="0" applyNumberFormat="1" applyFont="1" applyBorder="1" applyAlignment="1">
      <alignment horizontal="center" vertical="top"/>
    </xf>
    <xf numFmtId="3" fontId="8" fillId="0" borderId="51" xfId="0" applyNumberFormat="1" applyFont="1" applyBorder="1" applyAlignment="1">
      <alignment horizontal="center" vertical="top"/>
    </xf>
    <xf numFmtId="0" fontId="196" fillId="0" borderId="9" xfId="0" applyFont="1" applyBorder="1" applyAlignment="1" applyProtection="1">
      <alignment vertical="center" wrapText="1"/>
    </xf>
    <xf numFmtId="0" fontId="194" fillId="0" borderId="73" xfId="0" applyFont="1" applyBorder="1" applyAlignment="1">
      <alignment vertical="center"/>
    </xf>
    <xf numFmtId="0" fontId="34" fillId="0" borderId="4" xfId="0" applyFont="1" applyBorder="1" applyAlignment="1">
      <alignment horizontal="center" vertical="center" textRotation="90"/>
    </xf>
    <xf numFmtId="0" fontId="0" fillId="0" borderId="0" xfId="0" applyAlignment="1">
      <alignment horizontal="center" vertical="center" textRotation="90"/>
    </xf>
    <xf numFmtId="173" fontId="5" fillId="4" borderId="102" xfId="0" applyNumberFormat="1" applyFont="1" applyFill="1" applyBorder="1" applyAlignment="1">
      <alignment horizontal="center" vertical="center"/>
    </xf>
    <xf numFmtId="173" fontId="5" fillId="4" borderId="116" xfId="0" applyNumberFormat="1" applyFont="1" applyFill="1" applyBorder="1" applyAlignment="1">
      <alignment horizontal="center" vertical="center"/>
    </xf>
    <xf numFmtId="171" fontId="6" fillId="4" borderId="84" xfId="0" applyNumberFormat="1" applyFont="1" applyFill="1" applyBorder="1" applyAlignment="1">
      <alignment horizontal="center" vertical="center"/>
    </xf>
    <xf numFmtId="171" fontId="6" fillId="4" borderId="85" xfId="0" applyNumberFormat="1" applyFont="1" applyFill="1" applyBorder="1" applyAlignment="1">
      <alignment horizontal="center" vertical="center"/>
    </xf>
    <xf numFmtId="173" fontId="5" fillId="11" borderId="102" xfId="0" applyNumberFormat="1" applyFont="1" applyFill="1" applyBorder="1" applyAlignment="1">
      <alignment horizontal="center" vertical="center"/>
    </xf>
    <xf numFmtId="173" fontId="5" fillId="11" borderId="116" xfId="0" applyNumberFormat="1" applyFont="1" applyFill="1" applyBorder="1" applyAlignment="1">
      <alignment horizontal="center" vertical="center"/>
    </xf>
    <xf numFmtId="173" fontId="5" fillId="4" borderId="208" xfId="0" applyNumberFormat="1" applyFont="1" applyFill="1" applyBorder="1" applyAlignment="1">
      <alignment horizontal="center" vertical="center"/>
    </xf>
    <xf numFmtId="3" fontId="5" fillId="4" borderId="97" xfId="0" applyNumberFormat="1" applyFont="1" applyFill="1" applyBorder="1" applyAlignment="1">
      <alignment horizontal="center" vertical="center"/>
    </xf>
    <xf numFmtId="3" fontId="5" fillId="4" borderId="95" xfId="0" applyNumberFormat="1" applyFont="1" applyFill="1" applyBorder="1" applyAlignment="1">
      <alignment horizontal="center" vertical="center"/>
    </xf>
    <xf numFmtId="3" fontId="5" fillId="11" borderId="97" xfId="0" applyNumberFormat="1" applyFont="1" applyFill="1" applyBorder="1" applyAlignment="1">
      <alignment horizontal="center" vertical="center"/>
    </xf>
    <xf numFmtId="3" fontId="5" fillId="11" borderId="95" xfId="0" applyNumberFormat="1" applyFont="1" applyFill="1" applyBorder="1" applyAlignment="1">
      <alignment horizontal="center" vertical="center"/>
    </xf>
    <xf numFmtId="3" fontId="5" fillId="4" borderId="92" xfId="0" applyNumberFormat="1" applyFont="1" applyFill="1" applyBorder="1" applyAlignment="1">
      <alignment horizontal="center" vertical="center"/>
    </xf>
    <xf numFmtId="0" fontId="34" fillId="0" borderId="10" xfId="0" applyFont="1" applyBorder="1" applyAlignment="1">
      <alignment horizontal="center" vertical="center" textRotation="90"/>
    </xf>
    <xf numFmtId="0" fontId="34" fillId="0" borderId="2" xfId="0" applyFont="1" applyBorder="1" applyAlignment="1">
      <alignment horizontal="center" vertical="center" textRotation="90"/>
    </xf>
    <xf numFmtId="0" fontId="34" fillId="0" borderId="3" xfId="0" applyFont="1" applyBorder="1" applyAlignment="1">
      <alignment horizontal="center" vertical="center" textRotation="90"/>
    </xf>
    <xf numFmtId="0" fontId="34" fillId="0" borderId="10" xfId="0" applyFont="1" applyBorder="1" applyAlignment="1">
      <alignment horizontal="center" textRotation="90"/>
    </xf>
    <xf numFmtId="0" fontId="34" fillId="0" borderId="23" xfId="0" applyFont="1" applyBorder="1" applyAlignment="1">
      <alignment horizontal="center" textRotation="90"/>
    </xf>
    <xf numFmtId="0" fontId="34" fillId="0" borderId="2" xfId="0" applyFont="1" applyBorder="1" applyAlignment="1">
      <alignment horizontal="center" textRotation="90"/>
    </xf>
    <xf numFmtId="0" fontId="34" fillId="0" borderId="3" xfId="0" applyFont="1" applyBorder="1" applyAlignment="1">
      <alignment horizontal="center" textRotation="90"/>
    </xf>
    <xf numFmtId="0" fontId="34" fillId="0" borderId="113" xfId="0" applyFont="1" applyBorder="1" applyAlignment="1">
      <alignment horizontal="center" vertical="center" textRotation="90"/>
    </xf>
    <xf numFmtId="0" fontId="34" fillId="0" borderId="112" xfId="0" applyFont="1" applyBorder="1" applyAlignment="1">
      <alignment horizontal="center" vertical="center" textRotation="90"/>
    </xf>
    <xf numFmtId="0" fontId="34" fillId="0" borderId="115" xfId="0" applyFont="1" applyBorder="1" applyAlignment="1">
      <alignment horizontal="center" vertical="center" textRotation="90"/>
    </xf>
    <xf numFmtId="171" fontId="6" fillId="11" borderId="84" xfId="0" applyNumberFormat="1" applyFont="1" applyFill="1" applyBorder="1" applyAlignment="1">
      <alignment horizontal="center" vertical="center"/>
    </xf>
    <xf numFmtId="171" fontId="6" fillId="11" borderId="85" xfId="0" applyNumberFormat="1" applyFont="1" applyFill="1" applyBorder="1" applyAlignment="1">
      <alignment horizontal="center" vertical="center"/>
    </xf>
    <xf numFmtId="171" fontId="6" fillId="4" borderId="5" xfId="0" applyNumberFormat="1" applyFont="1" applyFill="1" applyBorder="1" applyAlignment="1">
      <alignment horizontal="center" vertical="center"/>
    </xf>
    <xf numFmtId="0" fontId="75" fillId="5" borderId="102" xfId="0" applyFont="1" applyFill="1" applyBorder="1" applyAlignment="1" applyProtection="1">
      <alignment horizontal="center" vertical="center"/>
    </xf>
    <xf numFmtId="0" fontId="75" fillId="5" borderId="103" xfId="0" applyFont="1" applyFill="1" applyBorder="1" applyAlignment="1" applyProtection="1">
      <alignment horizontal="center" vertical="center"/>
    </xf>
    <xf numFmtId="0" fontId="6" fillId="0" borderId="24"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34" xfId="0" applyFont="1" applyBorder="1" applyAlignment="1" applyProtection="1">
      <alignment horizontal="center" vertical="center"/>
    </xf>
    <xf numFmtId="0" fontId="69" fillId="0" borderId="92" xfId="0" applyFont="1" applyBorder="1" applyAlignment="1" applyProtection="1">
      <alignment horizontal="center" vertical="top" wrapText="1"/>
    </xf>
    <xf numFmtId="0" fontId="4" fillId="0" borderId="24" xfId="0" applyFont="1" applyBorder="1" applyAlignment="1">
      <alignment horizontal="center"/>
    </xf>
    <xf numFmtId="0" fontId="20" fillId="0" borderId="11" xfId="0" applyFont="1" applyBorder="1" applyAlignment="1">
      <alignment horizontal="center"/>
    </xf>
    <xf numFmtId="0" fontId="20" fillId="0" borderId="34" xfId="0" applyFont="1" applyBorder="1" applyAlignment="1">
      <alignment horizontal="center"/>
    </xf>
    <xf numFmtId="0" fontId="6" fillId="0" borderId="24" xfId="0" applyFont="1" applyBorder="1" applyAlignment="1">
      <alignment horizontal="center"/>
    </xf>
    <xf numFmtId="0" fontId="6" fillId="0" borderId="11" xfId="0" applyFont="1" applyBorder="1" applyAlignment="1">
      <alignment horizontal="center"/>
    </xf>
    <xf numFmtId="0" fontId="6" fillId="0" borderId="34" xfId="0" applyFont="1" applyBorder="1" applyAlignment="1">
      <alignment horizontal="center"/>
    </xf>
    <xf numFmtId="169" fontId="21" fillId="11" borderId="24" xfId="7" applyNumberFormat="1" applyFont="1" applyFill="1" applyBorder="1" applyAlignment="1" applyProtection="1">
      <alignment horizontal="center" vertical="center"/>
    </xf>
    <xf numFmtId="169" fontId="21" fillId="11" borderId="34" xfId="7" applyNumberFormat="1" applyFont="1" applyFill="1" applyBorder="1" applyAlignment="1" applyProtection="1">
      <alignment horizontal="center" vertical="center"/>
    </xf>
    <xf numFmtId="169" fontId="21" fillId="0" borderId="24" xfId="7" applyNumberFormat="1" applyFont="1" applyFill="1" applyBorder="1" applyAlignment="1" applyProtection="1">
      <alignment horizontal="center" vertical="center"/>
    </xf>
    <xf numFmtId="169" fontId="21" fillId="0" borderId="34" xfId="7" applyNumberFormat="1" applyFont="1" applyFill="1" applyBorder="1" applyAlignment="1" applyProtection="1">
      <alignment horizontal="center" vertical="center"/>
    </xf>
    <xf numFmtId="166" fontId="21" fillId="0" borderId="2" xfId="0" applyNumberFormat="1" applyFont="1" applyFill="1" applyBorder="1" applyAlignment="1" applyProtection="1">
      <alignment horizontal="center" vertical="center"/>
    </xf>
    <xf numFmtId="166" fontId="21" fillId="0" borderId="12" xfId="0" applyNumberFormat="1" applyFont="1" applyFill="1" applyBorder="1" applyAlignment="1" applyProtection="1">
      <alignment horizontal="center" vertical="center"/>
    </xf>
    <xf numFmtId="2" fontId="21" fillId="0" borderId="2" xfId="0" applyNumberFormat="1" applyFont="1" applyFill="1" applyBorder="1" applyAlignment="1" applyProtection="1">
      <alignment horizontal="center" vertical="center"/>
    </xf>
    <xf numFmtId="2" fontId="21" fillId="0" borderId="12" xfId="0" applyNumberFormat="1" applyFont="1" applyFill="1" applyBorder="1" applyAlignment="1" applyProtection="1">
      <alignment horizontal="center" vertical="center"/>
    </xf>
    <xf numFmtId="0" fontId="0" fillId="0" borderId="24" xfId="0" applyBorder="1" applyAlignment="1">
      <alignment horizontal="center"/>
    </xf>
    <xf numFmtId="0" fontId="0" fillId="0" borderId="11" xfId="0" applyBorder="1" applyAlignment="1">
      <alignment horizontal="center"/>
    </xf>
    <xf numFmtId="0" fontId="0" fillId="0" borderId="34" xfId="0" applyBorder="1" applyAlignment="1">
      <alignment horizontal="center"/>
    </xf>
    <xf numFmtId="182" fontId="21" fillId="0" borderId="2" xfId="0" applyNumberFormat="1" applyFont="1" applyFill="1" applyBorder="1" applyAlignment="1" applyProtection="1">
      <alignment horizontal="center" vertical="center"/>
    </xf>
    <xf numFmtId="182" fontId="21" fillId="0" borderId="12" xfId="0" applyNumberFormat="1" applyFont="1" applyFill="1" applyBorder="1" applyAlignment="1" applyProtection="1">
      <alignment horizontal="center" vertical="center"/>
    </xf>
    <xf numFmtId="166" fontId="21" fillId="11" borderId="2" xfId="0" applyNumberFormat="1" applyFont="1" applyFill="1" applyBorder="1" applyAlignment="1" applyProtection="1">
      <alignment horizontal="center" vertical="center"/>
    </xf>
    <xf numFmtId="166" fontId="21" fillId="11" borderId="12" xfId="0" applyNumberFormat="1" applyFont="1" applyFill="1" applyBorder="1" applyAlignment="1" applyProtection="1">
      <alignment horizontal="center" vertical="center"/>
    </xf>
    <xf numFmtId="181" fontId="21" fillId="0" borderId="2" xfId="0" applyNumberFormat="1" applyFont="1" applyFill="1" applyBorder="1" applyAlignment="1" applyProtection="1">
      <alignment horizontal="center" vertical="center"/>
    </xf>
    <xf numFmtId="181" fontId="21" fillId="0" borderId="12" xfId="0" applyNumberFormat="1" applyFont="1" applyFill="1" applyBorder="1" applyAlignment="1" applyProtection="1">
      <alignment horizontal="center" vertical="center"/>
    </xf>
    <xf numFmtId="182" fontId="109" fillId="0" borderId="3" xfId="0" applyNumberFormat="1" applyFont="1" applyFill="1" applyBorder="1" applyAlignment="1" applyProtection="1">
      <alignment horizontal="center" vertical="center"/>
    </xf>
    <xf numFmtId="182" fontId="109" fillId="0" borderId="6" xfId="0" applyNumberFormat="1" applyFont="1" applyFill="1" applyBorder="1" applyAlignment="1" applyProtection="1">
      <alignment horizontal="center" vertical="center"/>
    </xf>
    <xf numFmtId="2" fontId="21" fillId="11" borderId="2" xfId="0" applyNumberFormat="1" applyFont="1" applyFill="1" applyBorder="1" applyAlignment="1" applyProtection="1">
      <alignment horizontal="center" vertical="center"/>
    </xf>
    <xf numFmtId="2" fontId="21" fillId="11" borderId="12" xfId="0" applyNumberFormat="1" applyFont="1" applyFill="1" applyBorder="1" applyAlignment="1" applyProtection="1">
      <alignment horizontal="center" vertical="center"/>
    </xf>
    <xf numFmtId="166" fontId="109" fillId="0" borderId="3" xfId="0" applyNumberFormat="1" applyFont="1" applyFill="1" applyBorder="1" applyAlignment="1" applyProtection="1">
      <alignment horizontal="center" vertical="center"/>
    </xf>
    <xf numFmtId="166" fontId="109" fillId="0" borderId="6" xfId="0" applyNumberFormat="1" applyFont="1" applyFill="1" applyBorder="1" applyAlignment="1" applyProtection="1">
      <alignment horizontal="center" vertical="center"/>
    </xf>
    <xf numFmtId="0" fontId="8" fillId="0" borderId="88" xfId="0" applyFont="1" applyBorder="1"/>
    <xf numFmtId="0" fontId="8" fillId="0" borderId="18" xfId="0" applyFont="1" applyBorder="1"/>
    <xf numFmtId="0" fontId="8" fillId="0" borderId="164" xfId="0" applyFont="1" applyBorder="1"/>
    <xf numFmtId="0" fontId="20" fillId="0" borderId="104" xfId="0" applyFont="1" applyFill="1" applyBorder="1" applyAlignment="1" applyProtection="1">
      <alignment horizontal="center" vertical="center"/>
    </xf>
    <xf numFmtId="0" fontId="20" fillId="0" borderId="208" xfId="0" applyFont="1" applyFill="1" applyBorder="1" applyAlignment="1" applyProtection="1">
      <alignment horizontal="center" vertical="center"/>
    </xf>
    <xf numFmtId="0" fontId="20" fillId="0" borderId="116" xfId="0" applyFont="1" applyFill="1" applyBorder="1" applyAlignment="1" applyProtection="1">
      <alignment horizontal="center" vertical="center"/>
    </xf>
    <xf numFmtId="0" fontId="84" fillId="11" borderId="24" xfId="0" applyFont="1" applyFill="1" applyBorder="1" applyAlignment="1">
      <alignment horizontal="center"/>
    </xf>
    <xf numFmtId="0" fontId="84" fillId="11" borderId="11" xfId="0" applyFont="1" applyFill="1" applyBorder="1" applyAlignment="1">
      <alignment horizontal="center"/>
    </xf>
    <xf numFmtId="0" fontId="84" fillId="11" borderId="34" xfId="0" applyFont="1" applyFill="1" applyBorder="1" applyAlignment="1">
      <alignment horizontal="center"/>
    </xf>
    <xf numFmtId="0" fontId="77" fillId="0" borderId="104" xfId="0" applyFont="1" applyFill="1" applyBorder="1" applyAlignment="1" applyProtection="1">
      <alignment horizontal="center" vertical="center"/>
    </xf>
    <xf numFmtId="0" fontId="77" fillId="0" borderId="103" xfId="0" applyFont="1" applyFill="1" applyBorder="1" applyAlignment="1" applyProtection="1">
      <alignment horizontal="center" vertical="center"/>
    </xf>
    <xf numFmtId="166" fontId="109" fillId="11" borderId="3" xfId="0" applyNumberFormat="1" applyFont="1" applyFill="1" applyBorder="1" applyAlignment="1" applyProtection="1">
      <alignment horizontal="center" vertical="center"/>
    </xf>
    <xf numFmtId="166" fontId="109" fillId="11" borderId="6" xfId="0" applyNumberFormat="1" applyFont="1" applyFill="1" applyBorder="1" applyAlignment="1" applyProtection="1">
      <alignment horizontal="center" vertical="center"/>
    </xf>
    <xf numFmtId="169" fontId="21" fillId="4" borderId="24" xfId="7" applyNumberFormat="1" applyFont="1" applyFill="1" applyBorder="1" applyAlignment="1" applyProtection="1">
      <alignment horizontal="center" vertical="center"/>
    </xf>
    <xf numFmtId="169" fontId="21" fillId="4" borderId="81" xfId="7" applyNumberFormat="1" applyFont="1" applyFill="1" applyBorder="1" applyAlignment="1" applyProtection="1">
      <alignment horizontal="center" vertical="center"/>
    </xf>
    <xf numFmtId="169" fontId="21" fillId="4" borderId="34" xfId="7" applyNumberFormat="1" applyFont="1" applyFill="1" applyBorder="1" applyAlignment="1" applyProtection="1">
      <alignment horizontal="center" vertical="center"/>
    </xf>
    <xf numFmtId="0" fontId="0" fillId="0" borderId="112" xfId="0" applyBorder="1" applyAlignment="1">
      <alignment horizontal="center" vertical="center" textRotation="90"/>
    </xf>
    <xf numFmtId="0" fontId="17" fillId="0" borderId="0" xfId="0" applyFont="1" applyAlignment="1">
      <alignment horizontal="center"/>
    </xf>
    <xf numFmtId="0" fontId="126" fillId="0" borderId="218" xfId="0" applyFont="1" applyFill="1" applyBorder="1" applyAlignment="1">
      <alignment horizontal="center"/>
    </xf>
    <xf numFmtId="0" fontId="126" fillId="0" borderId="76" xfId="0" applyFont="1" applyFill="1" applyBorder="1" applyAlignment="1">
      <alignment horizontal="center"/>
    </xf>
    <xf numFmtId="0" fontId="90" fillId="0" borderId="49" xfId="0" applyFont="1" applyFill="1" applyBorder="1" applyAlignment="1">
      <alignment horizontal="center"/>
    </xf>
    <xf numFmtId="0" fontId="90" fillId="0" borderId="73" xfId="0" applyFont="1" applyFill="1" applyBorder="1" applyAlignment="1">
      <alignment horizontal="center"/>
    </xf>
    <xf numFmtId="0" fontId="130" fillId="11" borderId="24" xfId="0" applyFont="1" applyFill="1" applyBorder="1" applyAlignment="1">
      <alignment horizontal="left"/>
    </xf>
    <xf numFmtId="0" fontId="130" fillId="11" borderId="34" xfId="0" applyFont="1" applyFill="1" applyBorder="1" applyAlignment="1">
      <alignment horizontal="left"/>
    </xf>
    <xf numFmtId="0" fontId="90" fillId="0" borderId="8" xfId="0" applyFont="1" applyBorder="1" applyAlignment="1">
      <alignment horizontal="center"/>
    </xf>
    <xf numFmtId="0" fontId="90" fillId="0" borderId="192" xfId="0" applyFont="1" applyBorder="1" applyAlignment="1">
      <alignment horizontal="center"/>
    </xf>
    <xf numFmtId="0" fontId="90" fillId="0" borderId="9" xfId="0" applyFont="1" applyBorder="1" applyAlignment="1">
      <alignment horizontal="center"/>
    </xf>
    <xf numFmtId="0" fontId="20" fillId="0" borderId="24"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34" xfId="0" applyFont="1" applyBorder="1" applyAlignment="1">
      <alignment horizontal="center" vertical="center" wrapText="1"/>
    </xf>
    <xf numFmtId="0" fontId="127" fillId="0" borderId="0" xfId="0" applyFont="1" applyAlignment="1">
      <alignment wrapText="1"/>
    </xf>
    <xf numFmtId="0" fontId="0" fillId="0" borderId="0" xfId="0" applyAlignment="1">
      <alignment wrapText="1"/>
    </xf>
    <xf numFmtId="203" fontId="48" fillId="6" borderId="0" xfId="0" applyNumberFormat="1" applyFont="1" applyFill="1" applyBorder="1" applyAlignment="1">
      <alignment horizontal="left" vertical="center"/>
    </xf>
    <xf numFmtId="203" fontId="48" fillId="6" borderId="126" xfId="0" applyNumberFormat="1" applyFont="1" applyFill="1" applyBorder="1" applyAlignment="1">
      <alignment horizontal="left" vertical="center"/>
    </xf>
    <xf numFmtId="0" fontId="48" fillId="0" borderId="131" xfId="0" applyFont="1" applyBorder="1" applyAlignment="1">
      <alignment horizontal="center"/>
    </xf>
    <xf numFmtId="0" fontId="48" fillId="0" borderId="0" xfId="0" applyFont="1" applyBorder="1" applyAlignment="1">
      <alignment horizontal="center"/>
    </xf>
    <xf numFmtId="0" fontId="48" fillId="0" borderId="126" xfId="0" applyFont="1" applyBorder="1" applyAlignment="1">
      <alignment horizontal="center"/>
    </xf>
    <xf numFmtId="0" fontId="120" fillId="0" borderId="2" xfId="0" applyFont="1" applyBorder="1" applyAlignment="1">
      <alignment horizontal="center" vertical="center" wrapText="1"/>
    </xf>
    <xf numFmtId="0" fontId="120" fillId="0" borderId="0" xfId="0" applyFont="1" applyBorder="1" applyAlignment="1">
      <alignment horizontal="center" vertical="center" wrapText="1"/>
    </xf>
    <xf numFmtId="0" fontId="120" fillId="0" borderId="131" xfId="0" applyFont="1" applyBorder="1" applyAlignment="1">
      <alignment horizontal="center" vertical="center"/>
    </xf>
    <xf numFmtId="0" fontId="120" fillId="0" borderId="0" xfId="0" applyFont="1" applyBorder="1" applyAlignment="1">
      <alignment horizontal="center" vertical="center"/>
    </xf>
    <xf numFmtId="0" fontId="120" fillId="0" borderId="12" xfId="0" applyFont="1" applyBorder="1" applyAlignment="1">
      <alignment horizontal="center" vertical="center"/>
    </xf>
    <xf numFmtId="0" fontId="34" fillId="0" borderId="10" xfId="0" applyFont="1" applyBorder="1" applyAlignment="1">
      <alignment horizontal="center" vertical="center"/>
    </xf>
    <xf numFmtId="0" fontId="34" fillId="0" borderId="4" xfId="0" applyFont="1" applyBorder="1" applyAlignment="1">
      <alignment horizontal="center" vertical="center"/>
    </xf>
    <xf numFmtId="0" fontId="34" fillId="0" borderId="13" xfId="0" applyFont="1" applyBorder="1" applyAlignment="1">
      <alignment horizontal="center" vertical="center"/>
    </xf>
    <xf numFmtId="0" fontId="34" fillId="0" borderId="3" xfId="0" applyFont="1" applyBorder="1" applyAlignment="1">
      <alignment horizontal="center" vertical="center"/>
    </xf>
    <xf numFmtId="0" fontId="34" fillId="0" borderId="5" xfId="0" applyFont="1" applyBorder="1" applyAlignment="1">
      <alignment horizontal="center" vertical="center"/>
    </xf>
    <xf numFmtId="0" fontId="34" fillId="0" borderId="6" xfId="0" applyFont="1" applyBorder="1" applyAlignment="1">
      <alignment horizontal="center" vertical="center"/>
    </xf>
    <xf numFmtId="0" fontId="0" fillId="0" borderId="2" xfId="0" applyBorder="1" applyAlignment="1">
      <alignment horizontal="left" wrapText="1"/>
    </xf>
    <xf numFmtId="0" fontId="0" fillId="0" borderId="0" xfId="0" applyBorder="1" applyAlignment="1">
      <alignment horizontal="left" wrapText="1"/>
    </xf>
    <xf numFmtId="0" fontId="0" fillId="0" borderId="12" xfId="0" applyBorder="1" applyAlignment="1">
      <alignment horizontal="left" wrapText="1"/>
    </xf>
    <xf numFmtId="0" fontId="34" fillId="0" borderId="10" xfId="0" applyFont="1" applyBorder="1" applyAlignment="1">
      <alignment horizontal="center"/>
    </xf>
    <xf numFmtId="0" fontId="34" fillId="0" borderId="4" xfId="0" applyFont="1" applyBorder="1" applyAlignment="1">
      <alignment horizontal="center"/>
    </xf>
    <xf numFmtId="0" fontId="34" fillId="0" borderId="13" xfId="0" applyFont="1" applyBorder="1" applyAlignment="1">
      <alignment horizontal="center"/>
    </xf>
    <xf numFmtId="0" fontId="34" fillId="0" borderId="2" xfId="0" applyFont="1" applyBorder="1" applyAlignment="1">
      <alignment horizontal="left" wrapText="1"/>
    </xf>
    <xf numFmtId="0" fontId="127" fillId="0" borderId="2" xfId="0" applyFont="1" applyBorder="1" applyAlignment="1">
      <alignment horizontal="left" wrapText="1"/>
    </xf>
    <xf numFmtId="0" fontId="127" fillId="0" borderId="0" xfId="0" applyFont="1" applyBorder="1" applyAlignment="1">
      <alignment horizontal="left" wrapText="1"/>
    </xf>
    <xf numFmtId="0" fontId="127" fillId="0" borderId="2" xfId="0" applyNumberFormat="1" applyFont="1" applyBorder="1" applyAlignment="1">
      <alignment horizontal="left" wrapText="1"/>
    </xf>
    <xf numFmtId="0" fontId="0" fillId="0" borderId="0" xfId="0" applyNumberFormat="1" applyAlignment="1">
      <alignment wrapText="1"/>
    </xf>
    <xf numFmtId="0" fontId="0" fillId="0" borderId="2" xfId="0" applyNumberFormat="1" applyBorder="1" applyAlignment="1">
      <alignment wrapText="1"/>
    </xf>
    <xf numFmtId="2" fontId="27" fillId="11" borderId="7" xfId="0" applyNumberFormat="1" applyFont="1" applyFill="1" applyBorder="1" applyAlignment="1">
      <alignment horizontal="center" vertical="center"/>
    </xf>
    <xf numFmtId="2" fontId="27" fillId="11" borderId="8" xfId="0" applyNumberFormat="1" applyFont="1" applyFill="1" applyBorder="1" applyAlignment="1">
      <alignment horizontal="center" vertical="center"/>
    </xf>
    <xf numFmtId="2" fontId="27" fillId="11" borderId="9" xfId="0" applyNumberFormat="1" applyFont="1" applyFill="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2" fontId="27" fillId="11" borderId="205" xfId="0" applyNumberFormat="1" applyFont="1" applyFill="1" applyBorder="1" applyAlignment="1">
      <alignment horizontal="center" vertical="center"/>
    </xf>
    <xf numFmtId="2" fontId="27" fillId="11" borderId="204" xfId="0" applyNumberFormat="1" applyFont="1" applyFill="1" applyBorder="1" applyAlignment="1">
      <alignment horizontal="center" vertical="center"/>
    </xf>
    <xf numFmtId="2" fontId="27" fillId="11" borderId="206" xfId="0" applyNumberFormat="1" applyFont="1" applyFill="1" applyBorder="1" applyAlignment="1">
      <alignment horizontal="center" vertical="center"/>
    </xf>
    <xf numFmtId="2" fontId="4" fillId="11" borderId="205" xfId="0" applyNumberFormat="1" applyFont="1" applyFill="1" applyBorder="1" applyAlignment="1">
      <alignment horizontal="center" vertical="center" wrapText="1"/>
    </xf>
    <xf numFmtId="2" fontId="4" fillId="11" borderId="204" xfId="0" applyNumberFormat="1" applyFont="1" applyFill="1" applyBorder="1" applyAlignment="1">
      <alignment horizontal="center" vertical="center" wrapText="1"/>
    </xf>
    <xf numFmtId="2" fontId="4" fillId="11" borderId="206" xfId="0" applyNumberFormat="1" applyFont="1" applyFill="1" applyBorder="1" applyAlignment="1">
      <alignment horizontal="center" vertical="center" wrapText="1"/>
    </xf>
    <xf numFmtId="2" fontId="4" fillId="18" borderId="205" xfId="0" applyNumberFormat="1" applyFont="1" applyFill="1" applyBorder="1" applyAlignment="1">
      <alignment horizontal="center" vertical="center" wrapText="1"/>
    </xf>
    <xf numFmtId="2" fontId="4" fillId="18" borderId="204" xfId="0" applyNumberFormat="1" applyFont="1" applyFill="1" applyBorder="1" applyAlignment="1">
      <alignment horizontal="center" vertical="center" wrapText="1"/>
    </xf>
    <xf numFmtId="2" fontId="4" fillId="18" borderId="206" xfId="0" applyNumberFormat="1" applyFont="1" applyFill="1" applyBorder="1" applyAlignment="1">
      <alignment horizontal="center" vertical="center" wrapText="1"/>
    </xf>
    <xf numFmtId="0" fontId="0" fillId="0" borderId="0" xfId="0"/>
    <xf numFmtId="2" fontId="4" fillId="17" borderId="205" xfId="0" applyNumberFormat="1" applyFont="1" applyFill="1" applyBorder="1" applyAlignment="1">
      <alignment horizontal="center" vertical="center" wrapText="1"/>
    </xf>
    <xf numFmtId="2" fontId="4" fillId="17" borderId="204" xfId="0" applyNumberFormat="1" applyFont="1" applyFill="1" applyBorder="1" applyAlignment="1">
      <alignment horizontal="center" vertical="center" wrapText="1"/>
    </xf>
    <xf numFmtId="2" fontId="4" fillId="17" borderId="206" xfId="0" applyNumberFormat="1" applyFont="1" applyFill="1" applyBorder="1" applyAlignment="1">
      <alignment horizontal="center" vertical="center" wrapText="1"/>
    </xf>
    <xf numFmtId="2" fontId="4" fillId="11" borderId="60" xfId="0" applyNumberFormat="1" applyFont="1" applyFill="1" applyBorder="1" applyAlignment="1">
      <alignment horizontal="center" vertical="center" wrapText="1"/>
    </xf>
    <xf numFmtId="2" fontId="4" fillId="11" borderId="69" xfId="0" applyNumberFormat="1" applyFont="1" applyFill="1" applyBorder="1" applyAlignment="1">
      <alignment horizontal="center" vertical="center" wrapText="1"/>
    </xf>
  </cellXfs>
  <cellStyles count="12">
    <cellStyle name="Euro" xfId="1"/>
    <cellStyle name="gelbesEingabefeld" xfId="2"/>
    <cellStyle name="grünes Feld" xfId="3"/>
    <cellStyle name="Komma" xfId="5" builtinId="3"/>
    <cellStyle name="Link" xfId="4" builtinId="8"/>
    <cellStyle name="Matrix" xfId="6"/>
    <cellStyle name="Prozent" xfId="7" builtinId="5"/>
    <cellStyle name="Standard" xfId="0" builtinId="0"/>
    <cellStyle name="Standard_db" xfId="8"/>
    <cellStyle name="Standard_RUBRIK42" xfId="9"/>
    <cellStyle name="Währung" xfId="10" builtinId="4"/>
    <cellStyle name="Währung_Miku_11_2004_neuereDaten" xfId="11"/>
  </cellStyles>
  <dxfs count="3">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EFECC"/>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CC"/>
      <color rgb="FF00FFCC"/>
      <color rgb="FF00FF99"/>
      <color rgb="FF66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00033333420138"/>
          <c:y val="0.12093023255813953"/>
          <c:w val="0.61866827778197342"/>
          <c:h val="0.66976744186046511"/>
        </c:manualLayout>
      </c:layout>
      <c:lineChart>
        <c:grouping val="standard"/>
        <c:varyColors val="0"/>
        <c:ser>
          <c:idx val="0"/>
          <c:order val="0"/>
          <c:spPr>
            <a:ln w="12700">
              <a:solidFill>
                <a:srgbClr val="000080"/>
              </a:solidFill>
              <a:prstDash val="solid"/>
            </a:ln>
          </c:spPr>
          <c:marker>
            <c:symbol val="none"/>
          </c:marker>
          <c:val>
            <c:numRef>
              <c:f>'Tab1'!$C$4:$C$17</c:f>
              <c:numCache>
                <c:formatCode>General</c:formatCode>
                <c:ptCount val="14"/>
                <c:pt idx="0">
                  <c:v>41.97</c:v>
                </c:pt>
                <c:pt idx="1">
                  <c:v>111.84</c:v>
                </c:pt>
                <c:pt idx="2">
                  <c:v>198.32</c:v>
                </c:pt>
                <c:pt idx="3">
                  <c:v>348.01</c:v>
                </c:pt>
                <c:pt idx="4">
                  <c:v>455.11</c:v>
                </c:pt>
                <c:pt idx="5">
                  <c:v>563.66</c:v>
                </c:pt>
                <c:pt idx="6">
                  <c:v>608.92999999999995</c:v>
                </c:pt>
                <c:pt idx="7">
                  <c:v>641.53</c:v>
                </c:pt>
                <c:pt idx="8">
                  <c:v>652.30999999999995</c:v>
                </c:pt>
                <c:pt idx="9">
                  <c:v>706.13</c:v>
                </c:pt>
                <c:pt idx="10">
                  <c:v>713.12</c:v>
                </c:pt>
                <c:pt idx="11">
                  <c:v>716.48</c:v>
                </c:pt>
                <c:pt idx="12">
                  <c:v>724.54</c:v>
                </c:pt>
                <c:pt idx="13">
                  <c:v>654.57000000000005</c:v>
                </c:pt>
              </c:numCache>
            </c:numRef>
          </c:val>
          <c:smooth val="0"/>
          <c:extLst>
            <c:ext xmlns:c16="http://schemas.microsoft.com/office/drawing/2014/chart" uri="{C3380CC4-5D6E-409C-BE32-E72D297353CC}">
              <c16:uniqueId val="{00000000-2059-41DC-95FA-ECB1EC3092A2}"/>
            </c:ext>
          </c:extLst>
        </c:ser>
        <c:dLbls>
          <c:showLegendKey val="0"/>
          <c:showVal val="0"/>
          <c:showCatName val="0"/>
          <c:showSerName val="0"/>
          <c:showPercent val="0"/>
          <c:showBubbleSize val="0"/>
        </c:dLbls>
        <c:smooth val="0"/>
        <c:axId val="156372352"/>
        <c:axId val="156636288"/>
      </c:lineChart>
      <c:catAx>
        <c:axId val="156372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56636288"/>
        <c:crosses val="autoZero"/>
        <c:auto val="1"/>
        <c:lblAlgn val="ctr"/>
        <c:lblOffset val="100"/>
        <c:tickLblSkip val="2"/>
        <c:tickMarkSkip val="1"/>
        <c:noMultiLvlLbl val="0"/>
      </c:catAx>
      <c:valAx>
        <c:axId val="1566362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56372352"/>
        <c:crosses val="autoZero"/>
        <c:crossBetween val="between"/>
      </c:valAx>
      <c:spPr>
        <a:solidFill>
          <a:srgbClr val="C0C0C0"/>
        </a:solidFill>
        <a:ln w="12700">
          <a:solidFill>
            <a:srgbClr val="808080"/>
          </a:solidFill>
          <a:prstDash val="solid"/>
        </a:ln>
      </c:spPr>
    </c:plotArea>
    <c:legend>
      <c:legendPos val="r"/>
      <c:layout>
        <c:manualLayout>
          <c:xMode val="edge"/>
          <c:yMode val="edge"/>
          <c:x val="0.77481938603461586"/>
          <c:y val="0.40416828142423317"/>
          <c:w val="0.20339017303967288"/>
          <c:h val="0.10416726285375316"/>
        </c:manualLayout>
      </c:layout>
      <c:overlay val="0"/>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de-DE"/>
              <a:t>Baukostendegression - Kuhplätze</a:t>
            </a:r>
          </a:p>
        </c:rich>
      </c:tx>
      <c:layout>
        <c:manualLayout>
          <c:xMode val="edge"/>
          <c:yMode val="edge"/>
          <c:x val="0.19230757680050067"/>
          <c:y val="2.0325163982727473E-2"/>
        </c:manualLayout>
      </c:layout>
      <c:overlay val="0"/>
      <c:spPr>
        <a:noFill/>
        <a:ln w="25400">
          <a:noFill/>
        </a:ln>
      </c:spPr>
    </c:title>
    <c:autoTitleDeleted val="0"/>
    <c:plotArea>
      <c:layout>
        <c:manualLayout>
          <c:layoutTarget val="inner"/>
          <c:xMode val="edge"/>
          <c:yMode val="edge"/>
          <c:x val="0.15088757396449703"/>
          <c:y val="0.13414687399514894"/>
          <c:w val="0.80177514792899407"/>
          <c:h val="0.66666931318801281"/>
        </c:manualLayout>
      </c:layout>
      <c:lineChart>
        <c:grouping val="standard"/>
        <c:varyColors val="0"/>
        <c:ser>
          <c:idx val="0"/>
          <c:order val="0"/>
          <c:tx>
            <c:v>€/Platz</c:v>
          </c:tx>
          <c:spPr>
            <a:ln w="12700">
              <a:solidFill>
                <a:srgbClr val="000080"/>
              </a:solidFill>
              <a:prstDash val="solid"/>
            </a:ln>
          </c:spPr>
          <c:marker>
            <c:symbol val="diamond"/>
            <c:size val="5"/>
            <c:spPr>
              <a:solidFill>
                <a:srgbClr val="000080"/>
              </a:solidFill>
              <a:ln>
                <a:solidFill>
                  <a:srgbClr val="000080"/>
                </a:solidFill>
                <a:prstDash val="solid"/>
              </a:ln>
            </c:spPr>
          </c:marker>
          <c:dLbls>
            <c:dLbl>
              <c:idx val="4"/>
              <c:layout>
                <c:manualLayout>
                  <c:x val="-1.7257606112845354E-3"/>
                  <c:y val="-9.320339755205811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0F-4A04-832A-B28F8AA96F99}"/>
                </c:ext>
              </c:extLst>
            </c:dLbl>
            <c:dLbl>
              <c:idx val="5"/>
              <c:layout>
                <c:manualLayout>
                  <c:x val="-1.8934911242603547E-2"/>
                  <c:y val="-2.2142363260168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0F-4A04-832A-B28F8AA96F99}"/>
                </c:ext>
              </c:extLst>
            </c:dLbl>
            <c:spPr>
              <a:noFill/>
              <a:ln w="25400">
                <a:noFill/>
              </a:ln>
            </c:spPr>
            <c:txPr>
              <a:bodyPr/>
              <a:lstStyle/>
              <a:p>
                <a:pPr>
                  <a:defRPr sz="575"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Kalkulationshilfen!$F$59:$K$59</c:f>
              <c:numCache>
                <c:formatCode>General</c:formatCode>
                <c:ptCount val="6"/>
                <c:pt idx="0">
                  <c:v>60</c:v>
                </c:pt>
                <c:pt idx="1">
                  <c:v>90</c:v>
                </c:pt>
                <c:pt idx="2">
                  <c:v>120</c:v>
                </c:pt>
                <c:pt idx="3">
                  <c:v>180</c:v>
                </c:pt>
                <c:pt idx="4">
                  <c:v>240</c:v>
                </c:pt>
                <c:pt idx="5">
                  <c:v>480</c:v>
                </c:pt>
              </c:numCache>
            </c:numRef>
          </c:cat>
          <c:val>
            <c:numRef>
              <c:f>Kalkulationshilfen!$F$67:$K$67</c:f>
              <c:numCache>
                <c:formatCode>#,##0\ "€"</c:formatCode>
                <c:ptCount val="6"/>
                <c:pt idx="0">
                  <c:v>8000</c:v>
                </c:pt>
                <c:pt idx="1">
                  <c:v>7450</c:v>
                </c:pt>
                <c:pt idx="2">
                  <c:v>7000</c:v>
                </c:pt>
                <c:pt idx="3">
                  <c:v>6650</c:v>
                </c:pt>
                <c:pt idx="4">
                  <c:v>6325</c:v>
                </c:pt>
                <c:pt idx="5">
                  <c:v>6000</c:v>
                </c:pt>
              </c:numCache>
            </c:numRef>
          </c:val>
          <c:smooth val="0"/>
          <c:extLst>
            <c:ext xmlns:c16="http://schemas.microsoft.com/office/drawing/2014/chart" uri="{C3380CC4-5D6E-409C-BE32-E72D297353CC}">
              <c16:uniqueId val="{00000002-9E0F-4A04-832A-B28F8AA96F99}"/>
            </c:ext>
          </c:extLst>
        </c:ser>
        <c:dLbls>
          <c:showLegendKey val="0"/>
          <c:showVal val="0"/>
          <c:showCatName val="0"/>
          <c:showSerName val="0"/>
          <c:showPercent val="0"/>
          <c:showBubbleSize val="0"/>
        </c:dLbls>
        <c:marker val="1"/>
        <c:smooth val="0"/>
        <c:axId val="173730048"/>
        <c:axId val="173785472"/>
      </c:lineChart>
      <c:catAx>
        <c:axId val="173730048"/>
        <c:scaling>
          <c:orientation val="minMax"/>
        </c:scaling>
        <c:delete val="0"/>
        <c:axPos val="b"/>
        <c:title>
          <c:tx>
            <c:rich>
              <a:bodyPr/>
              <a:lstStyle/>
              <a:p>
                <a:pPr>
                  <a:defRPr sz="1100" b="0" i="0" u="none" strike="noStrike" baseline="0">
                    <a:solidFill>
                      <a:srgbClr val="000000"/>
                    </a:solidFill>
                    <a:latin typeface="Arial"/>
                    <a:ea typeface="Arial"/>
                    <a:cs typeface="Arial"/>
                  </a:defRPr>
                </a:pPr>
                <a:r>
                  <a:rPr lang="de-DE" sz="925" b="1" i="0" u="none" strike="noStrike" baseline="0">
                    <a:solidFill>
                      <a:srgbClr val="000000"/>
                    </a:solidFill>
                    <a:latin typeface="Arial"/>
                    <a:cs typeface="Arial"/>
                  </a:rPr>
                  <a:t>A</a:t>
                </a:r>
                <a:r>
                  <a:rPr lang="de-DE" sz="850" b="1" i="0" u="none" strike="noStrike" baseline="0">
                    <a:solidFill>
                      <a:srgbClr val="000000"/>
                    </a:solidFill>
                    <a:latin typeface="Arial"/>
                    <a:cs typeface="Arial"/>
                  </a:rPr>
                  <a:t>nzahl Plätze</a:t>
                </a:r>
              </a:p>
            </c:rich>
          </c:tx>
          <c:layout>
            <c:manualLayout>
              <c:xMode val="edge"/>
              <c:yMode val="edge"/>
              <c:x val="0.41420105015442382"/>
              <c:y val="0.89431225536994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de-DE"/>
          </a:p>
        </c:txPr>
        <c:crossAx val="173785472"/>
        <c:crosses val="autoZero"/>
        <c:auto val="1"/>
        <c:lblAlgn val="ctr"/>
        <c:lblOffset val="100"/>
        <c:tickLblSkip val="1"/>
        <c:tickMarkSkip val="1"/>
        <c:noMultiLvlLbl val="0"/>
      </c:catAx>
      <c:valAx>
        <c:axId val="173785472"/>
        <c:scaling>
          <c:orientation val="minMax"/>
          <c:min val="2000"/>
        </c:scaling>
        <c:delete val="0"/>
        <c:axPos val="l"/>
        <c:majorGridlines>
          <c:spPr>
            <a:ln w="3175">
              <a:solidFill>
                <a:srgbClr val="000000"/>
              </a:solidFill>
              <a:prstDash val="solid"/>
            </a:ln>
          </c:spPr>
        </c:majorGridlines>
        <c:title>
          <c:tx>
            <c:rich>
              <a:bodyPr rot="0" vert="horz"/>
              <a:lstStyle/>
              <a:p>
                <a:pPr algn="ctr">
                  <a:defRPr sz="850" b="1" i="0" u="none" strike="noStrike" baseline="0">
                    <a:solidFill>
                      <a:srgbClr val="000000"/>
                    </a:solidFill>
                    <a:latin typeface="Arial"/>
                    <a:ea typeface="Arial"/>
                    <a:cs typeface="Arial"/>
                  </a:defRPr>
                </a:pPr>
                <a:r>
                  <a:rPr lang="de-DE"/>
                  <a:t>€/Platz</a:t>
                </a:r>
              </a:p>
            </c:rich>
          </c:tx>
          <c:layout>
            <c:manualLayout>
              <c:xMode val="edge"/>
              <c:yMode val="edge"/>
              <c:x val="1.4792798117362144E-2"/>
              <c:y val="2.0325163982727473E-2"/>
            </c:manualLayout>
          </c:layout>
          <c:overlay val="0"/>
          <c:spPr>
            <a:noFill/>
            <a:ln w="25400">
              <a:noFill/>
            </a:ln>
          </c:spPr>
        </c:title>
        <c:numFmt formatCode="#,##0\ &quot;€&quot;"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de-DE"/>
          </a:p>
        </c:txPr>
        <c:crossAx val="173730048"/>
        <c:crosses val="autoZero"/>
        <c:crossBetween val="between"/>
      </c:valAx>
      <c:spPr>
        <a:solidFill>
          <a:srgbClr val="E3E3E3"/>
        </a:solidFill>
        <a:ln w="12700">
          <a:solidFill>
            <a:srgbClr val="808080"/>
          </a:solidFill>
          <a:prstDash val="solid"/>
        </a:ln>
      </c:spPr>
    </c:plotArea>
    <c:legend>
      <c:legendPos val="r"/>
      <c:layout>
        <c:manualLayout>
          <c:xMode val="edge"/>
          <c:yMode val="edge"/>
          <c:x val="0.77979341677388037"/>
          <c:y val="0.90909579648963335"/>
          <c:w val="0.20207273959125427"/>
          <c:h val="6.1818453679735819E-2"/>
        </c:manualLayout>
      </c:layout>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1" i="0" u="none" strike="noStrike" baseline="0">
                <a:solidFill>
                  <a:srgbClr val="000000"/>
                </a:solidFill>
                <a:latin typeface="Arial"/>
                <a:ea typeface="Arial"/>
                <a:cs typeface="Arial"/>
              </a:defRPr>
            </a:pPr>
            <a:r>
              <a:rPr lang="de-DE"/>
              <a:t>Arbeitszeitdegression - Laufstall</a:t>
            </a:r>
          </a:p>
        </c:rich>
      </c:tx>
      <c:layout>
        <c:manualLayout>
          <c:xMode val="edge"/>
          <c:yMode val="edge"/>
          <c:x val="0.23758946566710448"/>
          <c:y val="6.0729009251660492E-2"/>
        </c:manualLayout>
      </c:layout>
      <c:overlay val="0"/>
      <c:spPr>
        <a:noFill/>
        <a:ln w="25400">
          <a:noFill/>
        </a:ln>
      </c:spPr>
    </c:title>
    <c:autoTitleDeleted val="0"/>
    <c:plotArea>
      <c:layout>
        <c:manualLayout>
          <c:layoutTarget val="inner"/>
          <c:xMode val="edge"/>
          <c:yMode val="edge"/>
          <c:x val="9.5745012414853503E-2"/>
          <c:y val="0.20242954996985302"/>
          <c:w val="0.81915177288263552"/>
          <c:h val="0.59919146791076494"/>
        </c:manualLayout>
      </c:layout>
      <c:lineChart>
        <c:grouping val="standard"/>
        <c:varyColors val="0"/>
        <c:ser>
          <c:idx val="0"/>
          <c:order val="0"/>
          <c:tx>
            <c:v>Akh/Pl.</c:v>
          </c:tx>
          <c:spPr>
            <a:ln w="12700">
              <a:solidFill>
                <a:srgbClr val="000080"/>
              </a:solidFill>
              <a:prstDash val="solid"/>
            </a:ln>
          </c:spPr>
          <c:marker>
            <c:symbol val="diamond"/>
            <c:size val="5"/>
            <c:spPr>
              <a:solidFill>
                <a:srgbClr val="000080"/>
              </a:solidFill>
              <a:ln>
                <a:solidFill>
                  <a:srgbClr val="000080"/>
                </a:solidFill>
                <a:prstDash val="solid"/>
              </a:ln>
            </c:spPr>
          </c:marker>
          <c:dLbls>
            <c:dLbl>
              <c:idx val="5"/>
              <c:layout>
                <c:manualLayout>
                  <c:x val="5.9087685461481723E-4"/>
                  <c:y val="-2.2755103815483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22-41BE-8C5C-450DD4908F68}"/>
                </c:ext>
              </c:extLst>
            </c:dLbl>
            <c:dLbl>
              <c:idx val="6"/>
              <c:layout>
                <c:manualLayout>
                  <c:x val="5.9090980535776423E-4"/>
                  <c:y val="-2.0334406958910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22-41BE-8C5C-450DD4908F68}"/>
                </c:ext>
              </c:extLst>
            </c:dLbl>
            <c:spPr>
              <a:noFill/>
              <a:ln w="25400">
                <a:noFill/>
              </a:ln>
            </c:spPr>
            <c:txPr>
              <a:bodyPr/>
              <a:lstStyle/>
              <a:p>
                <a:pPr>
                  <a:defRPr sz="575"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Kalkulationshilfen!$E$102:$K$102</c:f>
              <c:numCache>
                <c:formatCode>General</c:formatCode>
                <c:ptCount val="7"/>
                <c:pt idx="0">
                  <c:v>40</c:v>
                </c:pt>
                <c:pt idx="1">
                  <c:v>60</c:v>
                </c:pt>
                <c:pt idx="2">
                  <c:v>80</c:v>
                </c:pt>
                <c:pt idx="3">
                  <c:v>120</c:v>
                </c:pt>
                <c:pt idx="4">
                  <c:v>180</c:v>
                </c:pt>
                <c:pt idx="5">
                  <c:v>240</c:v>
                </c:pt>
                <c:pt idx="6">
                  <c:v>480</c:v>
                </c:pt>
              </c:numCache>
            </c:numRef>
          </c:cat>
          <c:val>
            <c:numRef>
              <c:f>Kalkulationshilfen!$E$112:$K$112</c:f>
              <c:numCache>
                <c:formatCode>0</c:formatCode>
                <c:ptCount val="7"/>
                <c:pt idx="0">
                  <c:v>53.533333333333339</c:v>
                </c:pt>
                <c:pt idx="1">
                  <c:v>49.761666666666663</c:v>
                </c:pt>
                <c:pt idx="2">
                  <c:v>42.096666666666671</c:v>
                </c:pt>
                <c:pt idx="3">
                  <c:v>39.298333333333332</c:v>
                </c:pt>
                <c:pt idx="4">
                  <c:v>37.412500000000001</c:v>
                </c:pt>
                <c:pt idx="5">
                  <c:v>32.424166666666657</c:v>
                </c:pt>
                <c:pt idx="6">
                  <c:v>30.964166666666664</c:v>
                </c:pt>
              </c:numCache>
            </c:numRef>
          </c:val>
          <c:smooth val="0"/>
          <c:extLst>
            <c:ext xmlns:c16="http://schemas.microsoft.com/office/drawing/2014/chart" uri="{C3380CC4-5D6E-409C-BE32-E72D297353CC}">
              <c16:uniqueId val="{00000002-FF22-41BE-8C5C-450DD4908F68}"/>
            </c:ext>
          </c:extLst>
        </c:ser>
        <c:dLbls>
          <c:showLegendKey val="0"/>
          <c:showVal val="0"/>
          <c:showCatName val="0"/>
          <c:showSerName val="0"/>
          <c:showPercent val="0"/>
          <c:showBubbleSize val="0"/>
        </c:dLbls>
        <c:marker val="1"/>
        <c:smooth val="0"/>
        <c:axId val="174023424"/>
        <c:axId val="174025344"/>
      </c:lineChart>
      <c:catAx>
        <c:axId val="174023424"/>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de-DE"/>
                  <a:t>Anzahl Plätze</a:t>
                </a:r>
              </a:p>
            </c:rich>
          </c:tx>
          <c:layout>
            <c:manualLayout>
              <c:xMode val="edge"/>
              <c:yMode val="edge"/>
              <c:x val="0.35106510142903108"/>
              <c:y val="0.898787077053647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de-DE"/>
          </a:p>
        </c:txPr>
        <c:crossAx val="174025344"/>
        <c:crosses val="autoZero"/>
        <c:auto val="1"/>
        <c:lblAlgn val="ctr"/>
        <c:lblOffset val="100"/>
        <c:tickLblSkip val="1"/>
        <c:tickMarkSkip val="1"/>
        <c:noMultiLvlLbl val="0"/>
      </c:catAx>
      <c:valAx>
        <c:axId val="174025344"/>
        <c:scaling>
          <c:orientation val="minMax"/>
          <c:min val="20"/>
        </c:scaling>
        <c:delete val="0"/>
        <c:axPos val="l"/>
        <c:majorGridlines>
          <c:spPr>
            <a:ln w="3175">
              <a:solidFill>
                <a:srgbClr val="000000"/>
              </a:solidFill>
              <a:prstDash val="solid"/>
            </a:ln>
          </c:spPr>
        </c:majorGridlines>
        <c:title>
          <c:tx>
            <c:rich>
              <a:bodyPr rot="0" vert="horz"/>
              <a:lstStyle/>
              <a:p>
                <a:pPr algn="ctr">
                  <a:defRPr sz="875" b="1" i="0" u="none" strike="noStrike" baseline="0">
                    <a:solidFill>
                      <a:srgbClr val="000000"/>
                    </a:solidFill>
                    <a:latin typeface="Arial"/>
                    <a:ea typeface="Arial"/>
                    <a:cs typeface="Arial"/>
                  </a:defRPr>
                </a:pPr>
                <a:r>
                  <a:rPr lang="de-DE"/>
                  <a:t>AKh/Pl.</a:t>
                </a:r>
              </a:p>
            </c:rich>
          </c:tx>
          <c:layout>
            <c:manualLayout>
              <c:xMode val="edge"/>
              <c:yMode val="edge"/>
              <c:x val="1.7730443949053095E-2"/>
              <c:y val="2.0243003083886827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de-DE"/>
          </a:p>
        </c:txPr>
        <c:crossAx val="174023424"/>
        <c:crosses val="autoZero"/>
        <c:crossBetween val="between"/>
      </c:valAx>
      <c:spPr>
        <a:solidFill>
          <a:srgbClr val="E3E3E3"/>
        </a:solidFill>
        <a:ln w="12700">
          <a:solidFill>
            <a:srgbClr val="808080"/>
          </a:solidFill>
          <a:prstDash val="solid"/>
        </a:ln>
      </c:spPr>
    </c:plotArea>
    <c:legend>
      <c:legendPos val="r"/>
      <c:layout>
        <c:manualLayout>
          <c:xMode val="edge"/>
          <c:yMode val="edge"/>
          <c:x val="0.72812801657157478"/>
          <c:y val="0.90579769886550299"/>
          <c:w val="0.24375108113564115"/>
          <c:h val="7.9710251067475091E-2"/>
        </c:manualLayout>
      </c:layout>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44549937879438"/>
          <c:y val="0.20792079207920791"/>
          <c:w val="0.41666892724027366"/>
          <c:h val="0.48514851485148514"/>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Kalkulationshilfen!$G$150:$G$155</c:f>
              <c:numCache>
                <c:formatCode>#,##0</c:formatCode>
                <c:ptCount val="6"/>
                <c:pt idx="0">
                  <c:v>8228.9375</c:v>
                </c:pt>
                <c:pt idx="1">
                  <c:v>5443.625</c:v>
                </c:pt>
                <c:pt idx="2">
                  <c:v>4592.5744680851067</c:v>
                </c:pt>
                <c:pt idx="3">
                  <c:v>4989.1382113821137</c:v>
                </c:pt>
                <c:pt idx="4">
                  <c:v>4039.502857142857</c:v>
                </c:pt>
                <c:pt idx="5">
                  <c:v>4682.5142276422766</c:v>
                </c:pt>
              </c:numCache>
            </c:numRef>
          </c:val>
          <c:smooth val="0"/>
          <c:extLst>
            <c:ext xmlns:c16="http://schemas.microsoft.com/office/drawing/2014/chart" uri="{C3380CC4-5D6E-409C-BE32-E72D297353CC}">
              <c16:uniqueId val="{00000000-35CE-4D73-9ECF-7C01DFC7B0A1}"/>
            </c:ext>
          </c:extLst>
        </c:ser>
        <c:dLbls>
          <c:showLegendKey val="0"/>
          <c:showVal val="0"/>
          <c:showCatName val="0"/>
          <c:showSerName val="0"/>
          <c:showPercent val="0"/>
          <c:showBubbleSize val="0"/>
        </c:dLbls>
        <c:marker val="1"/>
        <c:smooth val="0"/>
        <c:axId val="174049920"/>
        <c:axId val="174920448"/>
      </c:lineChart>
      <c:catAx>
        <c:axId val="174049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Arial"/>
                <a:ea typeface="Arial"/>
                <a:cs typeface="Arial"/>
              </a:defRPr>
            </a:pPr>
            <a:endParaRPr lang="de-DE"/>
          </a:p>
        </c:txPr>
        <c:crossAx val="174920448"/>
        <c:crosses val="autoZero"/>
        <c:auto val="1"/>
        <c:lblAlgn val="ctr"/>
        <c:lblOffset val="100"/>
        <c:tickLblSkip val="1"/>
        <c:tickMarkSkip val="1"/>
        <c:noMultiLvlLbl val="0"/>
      </c:catAx>
      <c:valAx>
        <c:axId val="1749204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Arial"/>
                <a:ea typeface="Arial"/>
                <a:cs typeface="Arial"/>
              </a:defRPr>
            </a:pPr>
            <a:endParaRPr lang="de-DE"/>
          </a:p>
        </c:txPr>
        <c:crossAx val="174049920"/>
        <c:crosses val="autoZero"/>
        <c:crossBetween val="between"/>
      </c:valAx>
      <c:spPr>
        <a:solidFill>
          <a:srgbClr val="C0C0C0"/>
        </a:solidFill>
        <a:ln w="12700">
          <a:solidFill>
            <a:srgbClr val="808080"/>
          </a:solidFill>
          <a:prstDash val="solid"/>
        </a:ln>
      </c:spPr>
    </c:plotArea>
    <c:legend>
      <c:legendPos val="r"/>
      <c:layout>
        <c:manualLayout>
          <c:xMode val="edge"/>
          <c:yMode val="edge"/>
          <c:x val="0.67647144061020958"/>
          <c:y val="0.39823037900665281"/>
          <c:w val="0.27451018275486438"/>
          <c:h val="0.11504485604517922"/>
        </c:manualLayout>
      </c:layout>
      <c:overlay val="0"/>
      <c:spPr>
        <a:solidFill>
          <a:srgbClr val="FFFFFF"/>
        </a:solidFill>
        <a:ln w="3175">
          <a:solidFill>
            <a:srgbClr val="000000"/>
          </a:solidFill>
          <a:prstDash val="solid"/>
        </a:ln>
      </c:spPr>
      <c:txPr>
        <a:bodyPr/>
        <a:lstStyle/>
        <a:p>
          <a:pPr>
            <a:defRPr sz="21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86100977984699"/>
          <c:y val="0.25926238501139337"/>
          <c:w val="0.45348965947963832"/>
          <c:h val="0.39506649144593275"/>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Kalkulationshilfen!$G$157:$G$160</c:f>
              <c:numCache>
                <c:formatCode>#,##0</c:formatCode>
                <c:ptCount val="4"/>
                <c:pt idx="0">
                  <c:v>7782.15625</c:v>
                </c:pt>
                <c:pt idx="1">
                  <c:v>5133.5916666666662</c:v>
                </c:pt>
                <c:pt idx="2">
                  <c:v>5088.6010638297876</c:v>
                </c:pt>
                <c:pt idx="3">
                  <c:v>3694.0885714285714</c:v>
                </c:pt>
              </c:numCache>
            </c:numRef>
          </c:val>
          <c:smooth val="0"/>
          <c:extLst>
            <c:ext xmlns:c16="http://schemas.microsoft.com/office/drawing/2014/chart" uri="{C3380CC4-5D6E-409C-BE32-E72D297353CC}">
              <c16:uniqueId val="{00000000-F464-431E-924C-D5574B5960F9}"/>
            </c:ext>
          </c:extLst>
        </c:ser>
        <c:dLbls>
          <c:showLegendKey val="0"/>
          <c:showVal val="0"/>
          <c:showCatName val="0"/>
          <c:showSerName val="0"/>
          <c:showPercent val="0"/>
          <c:showBubbleSize val="0"/>
        </c:dLbls>
        <c:marker val="1"/>
        <c:smooth val="0"/>
        <c:axId val="174944256"/>
        <c:axId val="174946176"/>
      </c:lineChart>
      <c:catAx>
        <c:axId val="174944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de-DE"/>
          </a:p>
        </c:txPr>
        <c:crossAx val="174946176"/>
        <c:crosses val="autoZero"/>
        <c:auto val="1"/>
        <c:lblAlgn val="ctr"/>
        <c:lblOffset val="100"/>
        <c:tickLblSkip val="1"/>
        <c:tickMarkSkip val="1"/>
        <c:noMultiLvlLbl val="0"/>
      </c:catAx>
      <c:valAx>
        <c:axId val="17494617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de-DE"/>
          </a:p>
        </c:txPr>
        <c:crossAx val="174944256"/>
        <c:crosses val="autoZero"/>
        <c:crossBetween val="between"/>
      </c:valAx>
      <c:spPr>
        <a:solidFill>
          <a:srgbClr val="C0C0C0"/>
        </a:solidFill>
        <a:ln w="12700">
          <a:solidFill>
            <a:srgbClr val="808080"/>
          </a:solidFill>
          <a:prstDash val="solid"/>
        </a:ln>
      </c:spPr>
    </c:plotArea>
    <c:legend>
      <c:legendPos val="r"/>
      <c:layout>
        <c:manualLayout>
          <c:xMode val="edge"/>
          <c:yMode val="edge"/>
          <c:x val="0.71282482963776739"/>
          <c:y val="0.39560690136610771"/>
          <c:w val="0.24102711349932315"/>
          <c:h val="0.14285787078791951"/>
        </c:manualLayout>
      </c:layout>
      <c:overlay val="0"/>
      <c:spPr>
        <a:solidFill>
          <a:srgbClr val="FFFFFF"/>
        </a:solidFill>
        <a:ln w="3175">
          <a:solidFill>
            <a:srgbClr val="000000"/>
          </a:solidFill>
          <a:prstDash val="solid"/>
        </a:ln>
      </c:spPr>
      <c:txPr>
        <a:bodyPr/>
        <a:lstStyle/>
        <a:p>
          <a:pPr>
            <a:defRPr sz="17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605068510492081"/>
          <c:y val="0.32812750341418012"/>
          <c:w val="0.40740986334070783"/>
          <c:h val="0.4218782186753743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Kalkulationshilfen!$G$162:$G$164</c:f>
              <c:numCache>
                <c:formatCode>#,##0</c:formatCode>
                <c:ptCount val="3"/>
                <c:pt idx="0">
                  <c:v>7484.4375</c:v>
                </c:pt>
                <c:pt idx="1">
                  <c:v>4821.1825396825398</c:v>
                </c:pt>
                <c:pt idx="2">
                  <c:v>4801.4787234042551</c:v>
                </c:pt>
              </c:numCache>
            </c:numRef>
          </c:val>
          <c:smooth val="0"/>
          <c:extLst>
            <c:ext xmlns:c16="http://schemas.microsoft.com/office/drawing/2014/chart" uri="{C3380CC4-5D6E-409C-BE32-E72D297353CC}">
              <c16:uniqueId val="{00000000-A632-4D07-ADD5-D3A0D51F8BE3}"/>
            </c:ext>
          </c:extLst>
        </c:ser>
        <c:dLbls>
          <c:showLegendKey val="0"/>
          <c:showVal val="0"/>
          <c:showCatName val="0"/>
          <c:showSerName val="0"/>
          <c:showPercent val="0"/>
          <c:showBubbleSize val="0"/>
        </c:dLbls>
        <c:marker val="1"/>
        <c:smooth val="0"/>
        <c:axId val="174974080"/>
        <c:axId val="174976000"/>
      </c:lineChart>
      <c:catAx>
        <c:axId val="174974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de-DE"/>
          </a:p>
        </c:txPr>
        <c:crossAx val="174976000"/>
        <c:crosses val="autoZero"/>
        <c:auto val="1"/>
        <c:lblAlgn val="ctr"/>
        <c:lblOffset val="100"/>
        <c:tickLblSkip val="1"/>
        <c:tickMarkSkip val="1"/>
        <c:noMultiLvlLbl val="0"/>
      </c:catAx>
      <c:valAx>
        <c:axId val="1749760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de-DE"/>
          </a:p>
        </c:txPr>
        <c:crossAx val="174974080"/>
        <c:crosses val="autoZero"/>
        <c:crossBetween val="between"/>
      </c:valAx>
      <c:spPr>
        <a:solidFill>
          <a:srgbClr val="C0C0C0"/>
        </a:solidFill>
        <a:ln w="12700">
          <a:solidFill>
            <a:srgbClr val="808080"/>
          </a:solidFill>
          <a:prstDash val="solid"/>
        </a:ln>
      </c:spPr>
    </c:plotArea>
    <c:legend>
      <c:legendPos val="r"/>
      <c:layout>
        <c:manualLayout>
          <c:xMode val="edge"/>
          <c:yMode val="edge"/>
          <c:x val="0.67935316229094267"/>
          <c:y val="0.52778154210375938"/>
          <c:w val="0.25543666232958362"/>
          <c:h val="0.18055594105881878"/>
        </c:manualLayout>
      </c:layout>
      <c:overlay val="0"/>
      <c:spPr>
        <a:solidFill>
          <a:srgbClr val="FFFFFF"/>
        </a:solidFill>
        <a:ln w="3175">
          <a:solidFill>
            <a:srgbClr val="000000"/>
          </a:solidFill>
          <a:prstDash val="solid"/>
        </a:ln>
      </c:spPr>
      <c:txPr>
        <a:bodyPr/>
        <a:lstStyle/>
        <a:p>
          <a:pPr>
            <a:defRPr sz="15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88235294117646"/>
          <c:y val="0.34426505078966119"/>
          <c:w val="0.43529411764705883"/>
          <c:h val="0.44262649387242148"/>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Kalkulationshilfen!$G$166:$G$168</c:f>
              <c:numCache>
                <c:formatCode>#,##0</c:formatCode>
                <c:ptCount val="3"/>
                <c:pt idx="0">
                  <c:v>7501.34375</c:v>
                </c:pt>
                <c:pt idx="1">
                  <c:v>4713.8809523809523</c:v>
                </c:pt>
                <c:pt idx="2">
                  <c:v>4701.755319148936</c:v>
                </c:pt>
              </c:numCache>
            </c:numRef>
          </c:val>
          <c:smooth val="0"/>
          <c:extLst>
            <c:ext xmlns:c16="http://schemas.microsoft.com/office/drawing/2014/chart" uri="{C3380CC4-5D6E-409C-BE32-E72D297353CC}">
              <c16:uniqueId val="{00000000-B4FC-4CDF-A02E-31765ACE7A0D}"/>
            </c:ext>
          </c:extLst>
        </c:ser>
        <c:dLbls>
          <c:showLegendKey val="0"/>
          <c:showVal val="0"/>
          <c:showCatName val="0"/>
          <c:showSerName val="0"/>
          <c:showPercent val="0"/>
          <c:showBubbleSize val="0"/>
        </c:dLbls>
        <c:marker val="1"/>
        <c:smooth val="0"/>
        <c:axId val="174856448"/>
        <c:axId val="174883200"/>
      </c:lineChart>
      <c:catAx>
        <c:axId val="174856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de-DE"/>
          </a:p>
        </c:txPr>
        <c:crossAx val="174883200"/>
        <c:crosses val="autoZero"/>
        <c:auto val="1"/>
        <c:lblAlgn val="ctr"/>
        <c:lblOffset val="100"/>
        <c:tickLblSkip val="1"/>
        <c:tickMarkSkip val="1"/>
        <c:noMultiLvlLbl val="0"/>
      </c:catAx>
      <c:valAx>
        <c:axId val="1748832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de-DE"/>
          </a:p>
        </c:txPr>
        <c:crossAx val="174856448"/>
        <c:crosses val="autoZero"/>
        <c:crossBetween val="between"/>
      </c:valAx>
      <c:spPr>
        <a:solidFill>
          <a:srgbClr val="C0C0C0"/>
        </a:solidFill>
        <a:ln w="12700">
          <a:solidFill>
            <a:srgbClr val="808080"/>
          </a:solidFill>
          <a:prstDash val="solid"/>
        </a:ln>
      </c:spPr>
    </c:plotArea>
    <c:legend>
      <c:legendPos val="r"/>
      <c:layout>
        <c:manualLayout>
          <c:xMode val="edge"/>
          <c:yMode val="edge"/>
          <c:x val="0.70984588845683028"/>
          <c:y val="0.47059134395734031"/>
          <c:w val="0.24352362727326238"/>
          <c:h val="0.19117757366228211"/>
        </c:manualLayout>
      </c:layout>
      <c:overlay val="0"/>
      <c:spPr>
        <a:solidFill>
          <a:srgbClr val="FFFFFF"/>
        </a:solidFill>
        <a:ln w="3175">
          <a:solidFill>
            <a:srgbClr val="000000"/>
          </a:solidFill>
          <a:prstDash val="solid"/>
        </a:ln>
      </c:spPr>
      <c:txPr>
        <a:bodyPr/>
        <a:lstStyle/>
        <a:p>
          <a:pPr>
            <a:defRPr sz="15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sz="2000" b="1" i="0" u="none" strike="noStrike" baseline="0">
                <a:solidFill>
                  <a:srgbClr val="000000"/>
                </a:solidFill>
                <a:latin typeface="Arial"/>
                <a:cs typeface="Arial"/>
              </a:rPr>
              <a:t>Deckungsbeiträge in der Milchviehhaltung </a:t>
            </a:r>
            <a:r>
              <a:rPr lang="de-DE" sz="2000" b="1" i="0" u="none" strike="noStrike" baseline="30000">
                <a:solidFill>
                  <a:srgbClr val="000000"/>
                </a:solidFill>
                <a:latin typeface="Arial"/>
                <a:cs typeface="Arial"/>
              </a:rPr>
              <a:t>1 )</a:t>
            </a:r>
            <a:endParaRPr lang="de-DE" sz="2000" b="1" i="0" u="none" strike="noStrike" baseline="0">
              <a:solidFill>
                <a:srgbClr val="000000"/>
              </a:solidFill>
              <a:latin typeface="Arial"/>
              <a:cs typeface="Arial"/>
            </a:endParaRPr>
          </a:p>
          <a:p>
            <a:pPr>
              <a:defRPr sz="1000" b="0" i="0" u="none" strike="noStrike" baseline="0">
                <a:solidFill>
                  <a:srgbClr val="000000"/>
                </a:solidFill>
                <a:latin typeface="Arial"/>
                <a:ea typeface="Arial"/>
                <a:cs typeface="Arial"/>
              </a:defRPr>
            </a:pPr>
            <a:r>
              <a:rPr lang="de-DE" sz="1400" b="1" i="0" u="none" strike="noStrike" baseline="0">
                <a:solidFill>
                  <a:srgbClr val="000000"/>
                </a:solidFill>
                <a:latin typeface="Arial"/>
                <a:cs typeface="Arial"/>
              </a:rPr>
              <a:t>3 Leistungsniveaus</a:t>
            </a:r>
          </a:p>
        </c:rich>
      </c:tx>
      <c:layout>
        <c:manualLayout>
          <c:xMode val="edge"/>
          <c:yMode val="edge"/>
          <c:x val="0.18742741353148154"/>
          <c:y val="8.291854539178448E-3"/>
        </c:manualLayout>
      </c:layout>
      <c:overlay val="0"/>
      <c:spPr>
        <a:noFill/>
        <a:ln w="25400">
          <a:noFill/>
        </a:ln>
      </c:spPr>
    </c:title>
    <c:autoTitleDeleted val="0"/>
    <c:plotArea>
      <c:layout>
        <c:manualLayout>
          <c:layoutTarget val="inner"/>
          <c:xMode val="edge"/>
          <c:yMode val="edge"/>
          <c:x val="6.8684555922445656E-2"/>
          <c:y val="0.13267019827651824"/>
          <c:w val="0.9266594324451991"/>
          <c:h val="0.58540724989513682"/>
        </c:manualLayout>
      </c:layout>
      <c:barChart>
        <c:barDir val="col"/>
        <c:grouping val="clustered"/>
        <c:varyColors val="0"/>
        <c:ser>
          <c:idx val="0"/>
          <c:order val="0"/>
          <c:spPr>
            <a:solidFill>
              <a:srgbClr val="8080FF"/>
            </a:solidFill>
            <a:ln w="12700">
              <a:solidFill>
                <a:srgbClr val="000000"/>
              </a:solidFill>
              <a:prstDash val="solid"/>
            </a:ln>
          </c:spPr>
          <c:invertIfNegative val="0"/>
          <c:dPt>
            <c:idx val="0"/>
            <c:invertIfNegative val="0"/>
            <c:bubble3D val="0"/>
            <c:spPr>
              <a:pattFill prst="narHorz">
                <a:fgClr>
                  <a:srgbClr xmlns:mc="http://schemas.openxmlformats.org/markup-compatibility/2006" xmlns:a14="http://schemas.microsoft.com/office/drawing/2010/main" val="FF0000" mc:Ignorable="a14" a14:legacySpreadsheetColorIndex="1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1775-4399-AB27-BC2D67D0D8E5}"/>
              </c:ext>
            </c:extLst>
          </c:dPt>
          <c:dPt>
            <c:idx val="1"/>
            <c:invertIfNegative val="0"/>
            <c:bubble3D val="0"/>
            <c:spPr>
              <a:pattFill prst="solidDmnd">
                <a:fgClr>
                  <a:srgbClr xmlns:mc="http://schemas.openxmlformats.org/markup-compatibility/2006" xmlns:a14="http://schemas.microsoft.com/office/drawing/2010/main" val="FFFF00" mc:Ignorable="a14" a14:legacySpreadsheetColorIndex="34"/>
                </a:fgClr>
                <a:bgClr>
                  <a:srgbClr xmlns:mc="http://schemas.openxmlformats.org/markup-compatibility/2006" xmlns:a14="http://schemas.microsoft.com/office/drawing/2010/main" val="802060" mc:Ignorable="a14" a14:legacySpreadsheetColorIndex="25"/>
                </a:bgClr>
              </a:pattFill>
              <a:ln w="12700">
                <a:solidFill>
                  <a:srgbClr val="000000"/>
                </a:solidFill>
                <a:prstDash val="solid"/>
              </a:ln>
            </c:spPr>
            <c:extLst>
              <c:ext xmlns:c16="http://schemas.microsoft.com/office/drawing/2014/chart" uri="{C3380CC4-5D6E-409C-BE32-E72D297353CC}">
                <c16:uniqueId val="{00000003-1775-4399-AB27-BC2D67D0D8E5}"/>
              </c:ext>
            </c:extLst>
          </c:dPt>
          <c:dPt>
            <c:idx val="2"/>
            <c:invertIfNegative val="0"/>
            <c:bubble3D val="0"/>
            <c:spPr>
              <a:pattFill prst="wdUpDiag">
                <a:fgClr>
                  <a:srgbClr xmlns:mc="http://schemas.openxmlformats.org/markup-compatibility/2006" xmlns:a14="http://schemas.microsoft.com/office/drawing/2010/main" val="00FF00" mc:Ignorable="a14" a14:legacySpreadsheetColorIndex="1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1775-4399-AB27-BC2D67D0D8E5}"/>
              </c:ext>
            </c:extLst>
          </c:dPt>
          <c:dPt>
            <c:idx val="3"/>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1775-4399-AB27-BC2D67D0D8E5}"/>
              </c:ext>
            </c:extLst>
          </c:dPt>
          <c:dPt>
            <c:idx val="4"/>
            <c:invertIfNegative val="0"/>
            <c:bubble3D val="0"/>
            <c:spPr>
              <a:pattFill prst="narHorz">
                <a:fgClr>
                  <a:srgbClr xmlns:mc="http://schemas.openxmlformats.org/markup-compatibility/2006" xmlns:a14="http://schemas.microsoft.com/office/drawing/2010/main" val="FF0000" mc:Ignorable="a14" a14:legacySpreadsheetColorIndex="1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1775-4399-AB27-BC2D67D0D8E5}"/>
              </c:ext>
            </c:extLst>
          </c:dPt>
          <c:dPt>
            <c:idx val="5"/>
            <c:invertIfNegative val="0"/>
            <c:bubble3D val="0"/>
            <c:spPr>
              <a:pattFill prst="solidDmnd">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802060" mc:Ignorable="a14" a14:legacySpreadsheetColorIndex="25"/>
                </a:bgClr>
              </a:pattFill>
              <a:ln w="12700">
                <a:solidFill>
                  <a:srgbClr val="000000"/>
                </a:solidFill>
                <a:prstDash val="solid"/>
              </a:ln>
            </c:spPr>
            <c:extLst>
              <c:ext xmlns:c16="http://schemas.microsoft.com/office/drawing/2014/chart" uri="{C3380CC4-5D6E-409C-BE32-E72D297353CC}">
                <c16:uniqueId val="{0000000B-1775-4399-AB27-BC2D67D0D8E5}"/>
              </c:ext>
            </c:extLst>
          </c:dPt>
          <c:dPt>
            <c:idx val="6"/>
            <c:invertIfNegative val="0"/>
            <c:bubble3D val="0"/>
            <c:spPr>
              <a:pattFill prst="wdUpDiag">
                <a:fgClr>
                  <a:srgbClr xmlns:mc="http://schemas.openxmlformats.org/markup-compatibility/2006" xmlns:a14="http://schemas.microsoft.com/office/drawing/2010/main" val="00FF00" mc:Ignorable="a14" a14:legacySpreadsheetColorIndex="1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1775-4399-AB27-BC2D67D0D8E5}"/>
              </c:ext>
            </c:extLst>
          </c:dPt>
          <c:dPt>
            <c:idx val="7"/>
            <c:invertIfNegative val="0"/>
            <c:bubble3D val="0"/>
            <c:spPr>
              <a:solidFill>
                <a:srgbClr val="FFFF00"/>
              </a:solidFill>
              <a:ln w="12700">
                <a:solidFill>
                  <a:srgbClr val="000000"/>
                </a:solidFill>
                <a:prstDash val="solid"/>
              </a:ln>
            </c:spPr>
            <c:extLst>
              <c:ext xmlns:c16="http://schemas.microsoft.com/office/drawing/2014/chart" uri="{C3380CC4-5D6E-409C-BE32-E72D297353CC}">
                <c16:uniqueId val="{0000000F-1775-4399-AB27-BC2D67D0D8E5}"/>
              </c:ext>
            </c:extLst>
          </c:dPt>
          <c:dPt>
            <c:idx val="8"/>
            <c:invertIfNegative val="0"/>
            <c:bubble3D val="0"/>
            <c:spPr>
              <a:pattFill prst="narHorz">
                <a:fgClr>
                  <a:srgbClr xmlns:mc="http://schemas.openxmlformats.org/markup-compatibility/2006" xmlns:a14="http://schemas.microsoft.com/office/drawing/2010/main" val="FF0000" mc:Ignorable="a14" a14:legacySpreadsheetColorIndex="1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1-1775-4399-AB27-BC2D67D0D8E5}"/>
              </c:ext>
            </c:extLst>
          </c:dPt>
          <c:dPt>
            <c:idx val="9"/>
            <c:invertIfNegative val="0"/>
            <c:bubble3D val="0"/>
            <c:spPr>
              <a:pattFill prst="solidDmnd">
                <a:fgClr>
                  <a:srgbClr xmlns:mc="http://schemas.openxmlformats.org/markup-compatibility/2006" xmlns:a14="http://schemas.microsoft.com/office/drawing/2010/main" val="FFFF00" mc:Ignorable="a14" a14:legacySpreadsheetColorIndex="34"/>
                </a:fgClr>
                <a:bgClr>
                  <a:srgbClr xmlns:mc="http://schemas.openxmlformats.org/markup-compatibility/2006" xmlns:a14="http://schemas.microsoft.com/office/drawing/2010/main" val="802060" mc:Ignorable="a14" a14:legacySpreadsheetColorIndex="25"/>
                </a:bgClr>
              </a:pattFill>
              <a:ln w="12700">
                <a:solidFill>
                  <a:srgbClr val="000000"/>
                </a:solidFill>
                <a:prstDash val="solid"/>
              </a:ln>
            </c:spPr>
            <c:extLst>
              <c:ext xmlns:c16="http://schemas.microsoft.com/office/drawing/2014/chart" uri="{C3380CC4-5D6E-409C-BE32-E72D297353CC}">
                <c16:uniqueId val="{00000013-1775-4399-AB27-BC2D67D0D8E5}"/>
              </c:ext>
            </c:extLst>
          </c:dPt>
          <c:dPt>
            <c:idx val="10"/>
            <c:invertIfNegative val="0"/>
            <c:bubble3D val="0"/>
            <c:spPr>
              <a:pattFill prst="wdUpDiag">
                <a:fgClr>
                  <a:srgbClr xmlns:mc="http://schemas.openxmlformats.org/markup-compatibility/2006" xmlns:a14="http://schemas.microsoft.com/office/drawing/2010/main" val="00FF00" mc:Ignorable="a14" a14:legacySpreadsheetColorIndex="1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5-1775-4399-AB27-BC2D67D0D8E5}"/>
              </c:ext>
            </c:extLst>
          </c:dPt>
          <c:dLbls>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'DB-Übersicht'!$D$4:$N$6</c:f>
              <c:multiLvlStrCache>
                <c:ptCount val="11"/>
                <c:lvl>
                  <c:pt idx="0">
                    <c:v>6.500</c:v>
                  </c:pt>
                  <c:pt idx="1">
                    <c:v>7.500</c:v>
                  </c:pt>
                  <c:pt idx="2">
                    <c:v>8.500</c:v>
                  </c:pt>
                  <c:pt idx="3">
                    <c:v>.</c:v>
                  </c:pt>
                  <c:pt idx="4">
                    <c:v>7.500</c:v>
                  </c:pt>
                  <c:pt idx="5">
                    <c:v>8.500</c:v>
                  </c:pt>
                  <c:pt idx="6">
                    <c:v>9.500</c:v>
                  </c:pt>
                  <c:pt idx="7">
                    <c:v>.</c:v>
                  </c:pt>
                  <c:pt idx="8">
                    <c:v>6.500</c:v>
                  </c:pt>
                  <c:pt idx="9">
                    <c:v>7.500</c:v>
                  </c:pt>
                  <c:pt idx="10">
                    <c:v>8.500</c:v>
                  </c:pt>
                </c:lvl>
                <c:lvl>
                  <c:pt idx="0">
                    <c:v>niedrig</c:v>
                  </c:pt>
                  <c:pt idx="1">
                    <c:v>mittel</c:v>
                  </c:pt>
                  <c:pt idx="2">
                    <c:v>hoch</c:v>
                  </c:pt>
                  <c:pt idx="3">
                    <c:v>.</c:v>
                  </c:pt>
                  <c:pt idx="4">
                    <c:v>niedrig</c:v>
                  </c:pt>
                  <c:pt idx="5">
                    <c:v>mittel</c:v>
                  </c:pt>
                  <c:pt idx="6">
                    <c:v>hoch</c:v>
                  </c:pt>
                  <c:pt idx="7">
                    <c:v>.</c:v>
                  </c:pt>
                  <c:pt idx="8">
                    <c:v>niedrig</c:v>
                  </c:pt>
                  <c:pt idx="9">
                    <c:v>mittel</c:v>
                  </c:pt>
                  <c:pt idx="10">
                    <c:v>hoch</c:v>
                  </c:pt>
                </c:lvl>
                <c:lvl>
                  <c:pt idx="0">
                    <c:v>Milchkuh; Fleckvieh</c:v>
                  </c:pt>
                  <c:pt idx="4">
                    <c:v>Milchkuh; Holstein-Sbt.</c:v>
                  </c:pt>
                  <c:pt idx="8">
                    <c:v>Milchkuh; Braunvieh</c:v>
                  </c:pt>
                </c:lvl>
              </c:multiLvlStrCache>
            </c:multiLvlStrRef>
          </c:cat>
          <c:val>
            <c:numRef>
              <c:f>'DB-Übersicht'!$D$31:$N$31</c:f>
              <c:numCache>
                <c:formatCode>#,##0\ </c:formatCode>
                <c:ptCount val="11"/>
                <c:pt idx="0">
                  <c:v>1026.2244069750002</c:v>
                </c:pt>
                <c:pt idx="1">
                  <c:v>1326.309709441666</c:v>
                </c:pt>
                <c:pt idx="2">
                  <c:v>1610.6451839083329</c:v>
                </c:pt>
                <c:pt idx="4" formatCode="0\ ">
                  <c:v>967.73588054999959</c:v>
                </c:pt>
                <c:pt idx="5">
                  <c:v>1246.0843750166657</c:v>
                </c:pt>
                <c:pt idx="6">
                  <c:v>402.46554148333189</c:v>
                </c:pt>
                <c:pt idx="8">
                  <c:v>877.39193238333314</c:v>
                </c:pt>
                <c:pt idx="9">
                  <c:v>1160.1312941833339</c:v>
                </c:pt>
                <c:pt idx="10">
                  <c:v>1441.3591039833325</c:v>
                </c:pt>
              </c:numCache>
            </c:numRef>
          </c:val>
          <c:extLst>
            <c:ext xmlns:c16="http://schemas.microsoft.com/office/drawing/2014/chart" uri="{C3380CC4-5D6E-409C-BE32-E72D297353CC}">
              <c16:uniqueId val="{00000016-1775-4399-AB27-BC2D67D0D8E5}"/>
            </c:ext>
          </c:extLst>
        </c:ser>
        <c:dLbls>
          <c:showLegendKey val="0"/>
          <c:showVal val="0"/>
          <c:showCatName val="0"/>
          <c:showSerName val="0"/>
          <c:showPercent val="0"/>
          <c:showBubbleSize val="0"/>
        </c:dLbls>
        <c:gapWidth val="150"/>
        <c:axId val="171511168"/>
        <c:axId val="171517440"/>
      </c:barChart>
      <c:catAx>
        <c:axId val="171511168"/>
        <c:scaling>
          <c:orientation val="minMax"/>
        </c:scaling>
        <c:delete val="0"/>
        <c:axPos val="b"/>
        <c:title>
          <c:tx>
            <c:rich>
              <a:bodyPr/>
              <a:lstStyle/>
              <a:p>
                <a:pPr>
                  <a:defRPr sz="1100" b="0" i="0" u="none" strike="noStrike" baseline="0">
                    <a:solidFill>
                      <a:srgbClr val="000000"/>
                    </a:solidFill>
                    <a:latin typeface="Arial"/>
                    <a:ea typeface="Arial"/>
                    <a:cs typeface="Arial"/>
                  </a:defRPr>
                </a:pPr>
                <a:r>
                  <a:rPr lang="de-DE" sz="1000" b="1" i="0" u="none" strike="noStrike" baseline="0">
                    <a:solidFill>
                      <a:srgbClr val="000000"/>
                    </a:solidFill>
                    <a:latin typeface="Arial"/>
                    <a:cs typeface="Arial"/>
                  </a:rPr>
                  <a:t>DB nach GF  ( </a:t>
                </a:r>
                <a:r>
                  <a:rPr lang="de-DE" sz="1200" b="1" i="0" u="none" strike="noStrike" baseline="0">
                    <a:solidFill>
                      <a:srgbClr val="000000"/>
                    </a:solidFill>
                    <a:latin typeface="Arial"/>
                    <a:cs typeface="Arial"/>
                  </a:rPr>
                  <a:t>€ </a:t>
                </a:r>
                <a:r>
                  <a:rPr lang="de-DE" sz="1000" b="1" i="0" u="none" strike="noStrike" baseline="0">
                    <a:solidFill>
                      <a:srgbClr val="000000"/>
                    </a:solidFill>
                    <a:latin typeface="Arial"/>
                    <a:cs typeface="Arial"/>
                  </a:rPr>
                  <a:t>)</a:t>
                </a:r>
              </a:p>
              <a:p>
                <a:pPr>
                  <a:defRPr sz="1100" b="0" i="0" u="none" strike="noStrike" baseline="0">
                    <a:solidFill>
                      <a:srgbClr val="000000"/>
                    </a:solidFill>
                    <a:latin typeface="Arial"/>
                    <a:ea typeface="Arial"/>
                    <a:cs typeface="Arial"/>
                  </a:defRPr>
                </a:pPr>
                <a:r>
                  <a:rPr lang="de-DE" sz="1000" b="1" i="0" u="none" strike="noStrike" baseline="0">
                    <a:solidFill>
                      <a:srgbClr val="000000"/>
                    </a:solidFill>
                    <a:latin typeface="Arial"/>
                    <a:cs typeface="Arial"/>
                  </a:rPr>
                  <a:t>je Kuh</a:t>
                </a:r>
              </a:p>
              <a:p>
                <a:pPr>
                  <a:defRPr sz="1100" b="0" i="0" u="none" strike="noStrike" baseline="0">
                    <a:solidFill>
                      <a:srgbClr val="000000"/>
                    </a:solidFill>
                    <a:latin typeface="Arial"/>
                    <a:ea typeface="Arial"/>
                    <a:cs typeface="Arial"/>
                  </a:defRPr>
                </a:pPr>
                <a:r>
                  <a:rPr lang="de-DE" sz="1000" b="1" i="0" u="none" strike="noStrike" baseline="0">
                    <a:solidFill>
                      <a:srgbClr val="000000"/>
                    </a:solidFill>
                    <a:latin typeface="Arial"/>
                    <a:cs typeface="Arial"/>
                  </a:rPr>
                  <a:t> </a:t>
                </a:r>
              </a:p>
            </c:rich>
          </c:tx>
          <c:layout>
            <c:manualLayout>
              <c:xMode val="edge"/>
              <c:yMode val="edge"/>
              <c:x val="1.0477334837820236E-2"/>
              <c:y val="8.291854539178448E-3"/>
            </c:manualLayout>
          </c:layout>
          <c:overlay val="0"/>
          <c:spPr>
            <a:noFill/>
            <a:ln w="25400">
              <a:noFill/>
            </a:ln>
          </c:spPr>
        </c:title>
        <c:numFmt formatCode="General" sourceLinked="1"/>
        <c:majorTickMark val="out"/>
        <c:minorTickMark val="out"/>
        <c:tickLblPos val="low"/>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de-DE"/>
          </a:p>
        </c:txPr>
        <c:crossAx val="171517440"/>
        <c:crosses val="autoZero"/>
        <c:auto val="0"/>
        <c:lblAlgn val="ctr"/>
        <c:lblOffset val="100"/>
        <c:tickLblSkip val="1"/>
        <c:tickMarkSkip val="1"/>
        <c:noMultiLvlLbl val="0"/>
      </c:catAx>
      <c:valAx>
        <c:axId val="171517440"/>
        <c:scaling>
          <c:orientation val="minMax"/>
        </c:scaling>
        <c:delete val="0"/>
        <c:axPos val="l"/>
        <c:majorGridlines>
          <c:spPr>
            <a:ln w="3175">
              <a:solidFill>
                <a:srgbClr val="000000"/>
              </a:solidFill>
              <a:prstDash val="sysDash"/>
            </a:ln>
          </c:spPr>
        </c:majorGridlines>
        <c:numFmt formatCode="#,##0\ " sourceLinked="1"/>
        <c:majorTickMark val="out"/>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de-DE"/>
          </a:p>
        </c:txPr>
        <c:crossAx val="17151116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Footer>&amp;L&amp;"Arial,Fett"&amp;14 11&amp;ZKalkulationsdaten Tierhaltung &amp;N   &amp;RLEL Schwäbisch Gmünd
&amp;D</c:oddFooter>
    </c:headerFooter>
    <c:pageMargins b="0.47244094488188981" l="0.19685039370078741" r="0.19685039370078741" t="0.70866141732283472" header="0.51181102362204722" footer="0.51181102362204722"/>
    <c:pageSetup paperSize="49" orientation="landscape" horizontalDpi="3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de-DE"/>
              <a:t>Kostendeckender Erlös </a:t>
            </a:r>
            <a:r>
              <a:rPr lang="de-DE">
                <a:solidFill>
                  <a:srgbClr val="FF0000"/>
                </a:solidFill>
              </a:rPr>
              <a:t>(ohne</a:t>
            </a:r>
            <a:r>
              <a:rPr lang="de-DE" baseline="0">
                <a:solidFill>
                  <a:srgbClr val="FF0000"/>
                </a:solidFill>
              </a:rPr>
              <a:t> Mwst.</a:t>
            </a:r>
            <a:r>
              <a:rPr lang="de-DE">
                <a:solidFill>
                  <a:srgbClr val="FF0000"/>
                </a:solidFill>
              </a:rPr>
              <a:t>)  </a:t>
            </a:r>
            <a:r>
              <a:rPr lang="de-DE"/>
              <a:t>je kg Milch
3 Leistungsniveaus</a:t>
            </a:r>
          </a:p>
        </c:rich>
      </c:tx>
      <c:layout>
        <c:manualLayout>
          <c:xMode val="edge"/>
          <c:yMode val="edge"/>
          <c:x val="0.26087275091637191"/>
          <c:y val="1.4331189418044987E-2"/>
        </c:manualLayout>
      </c:layout>
      <c:overlay val="0"/>
      <c:spPr>
        <a:noFill/>
        <a:ln w="25400">
          <a:noFill/>
        </a:ln>
      </c:spPr>
    </c:title>
    <c:autoTitleDeleted val="0"/>
    <c:plotArea>
      <c:layout>
        <c:manualLayout>
          <c:layoutTarget val="inner"/>
          <c:xMode val="edge"/>
          <c:yMode val="edge"/>
          <c:x val="9.408610271822121E-2"/>
          <c:y val="0.15182596201078138"/>
          <c:w val="0.90505767166706141"/>
          <c:h val="0.68789862402547775"/>
        </c:manualLayout>
      </c:layout>
      <c:barChart>
        <c:barDir val="col"/>
        <c:grouping val="clustered"/>
        <c:varyColors val="0"/>
        <c:ser>
          <c:idx val="0"/>
          <c:order val="0"/>
          <c:spPr>
            <a:solidFill>
              <a:srgbClr val="8080FF"/>
            </a:solidFill>
            <a:ln w="12700">
              <a:solidFill>
                <a:srgbClr val="000000"/>
              </a:solidFill>
              <a:prstDash val="solid"/>
            </a:ln>
          </c:spPr>
          <c:invertIfNegative val="0"/>
          <c:dPt>
            <c:idx val="0"/>
            <c:invertIfNegative val="0"/>
            <c:bubble3D val="0"/>
            <c:spPr>
              <a:pattFill prst="narHorz">
                <a:fgClr>
                  <a:srgbClr xmlns:mc="http://schemas.openxmlformats.org/markup-compatibility/2006" xmlns:a14="http://schemas.microsoft.com/office/drawing/2010/main" val="FF0000" mc:Ignorable="a14" a14:legacySpreadsheetColorIndex="1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4C1E-4F8D-BD44-5013E9FE91FE}"/>
              </c:ext>
            </c:extLst>
          </c:dPt>
          <c:dPt>
            <c:idx val="1"/>
            <c:invertIfNegative val="0"/>
            <c:bubble3D val="0"/>
            <c:spPr>
              <a:pattFill prst="solidDmnd">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802060" mc:Ignorable="a14" a14:legacySpreadsheetColorIndex="25"/>
                </a:bgClr>
              </a:pattFill>
              <a:ln w="12700">
                <a:solidFill>
                  <a:srgbClr val="000000"/>
                </a:solidFill>
                <a:prstDash val="solid"/>
              </a:ln>
            </c:spPr>
            <c:extLst>
              <c:ext xmlns:c16="http://schemas.microsoft.com/office/drawing/2014/chart" uri="{C3380CC4-5D6E-409C-BE32-E72D297353CC}">
                <c16:uniqueId val="{00000003-4C1E-4F8D-BD44-5013E9FE91FE}"/>
              </c:ext>
            </c:extLst>
          </c:dPt>
          <c:dPt>
            <c:idx val="2"/>
            <c:invertIfNegative val="0"/>
            <c:bubble3D val="0"/>
            <c:spPr>
              <a:pattFill prst="wdUpDiag">
                <a:fgClr>
                  <a:srgbClr xmlns:mc="http://schemas.openxmlformats.org/markup-compatibility/2006" xmlns:a14="http://schemas.microsoft.com/office/drawing/2010/main" val="00FF00" mc:Ignorable="a14" a14:legacySpreadsheetColorIndex="1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4C1E-4F8D-BD44-5013E9FE91FE}"/>
              </c:ext>
            </c:extLst>
          </c:dPt>
          <c:dPt>
            <c:idx val="3"/>
            <c:invertIfNegative val="0"/>
            <c:bubble3D val="0"/>
            <c:spPr>
              <a:pattFill prst="narHorz">
                <a:fgClr>
                  <a:srgbClr xmlns:mc="http://schemas.openxmlformats.org/markup-compatibility/2006" xmlns:a14="http://schemas.microsoft.com/office/drawing/2010/main" val="FF0000" mc:Ignorable="a14" a14:legacySpreadsheetColorIndex="1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4C1E-4F8D-BD44-5013E9FE91FE}"/>
              </c:ext>
            </c:extLst>
          </c:dPt>
          <c:dPt>
            <c:idx val="4"/>
            <c:invertIfNegative val="0"/>
            <c:bubble3D val="0"/>
            <c:spPr>
              <a:pattFill prst="narHorz">
                <a:fgClr>
                  <a:srgbClr xmlns:mc="http://schemas.openxmlformats.org/markup-compatibility/2006" xmlns:a14="http://schemas.microsoft.com/office/drawing/2010/main" val="FF0000" mc:Ignorable="a14" a14:legacySpreadsheetColorIndex="1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4C1E-4F8D-BD44-5013E9FE91FE}"/>
              </c:ext>
            </c:extLst>
          </c:dPt>
          <c:dPt>
            <c:idx val="5"/>
            <c:invertIfNegative val="0"/>
            <c:bubble3D val="0"/>
            <c:spPr>
              <a:pattFill prst="solidDmnd">
                <a:fgClr>
                  <a:srgbClr xmlns:mc="http://schemas.openxmlformats.org/markup-compatibility/2006" xmlns:a14="http://schemas.microsoft.com/office/drawing/2010/main" val="FFFF00" mc:Ignorable="a14" a14:legacySpreadsheetColorIndex="34"/>
                </a:fgClr>
                <a:bgClr>
                  <a:srgbClr xmlns:mc="http://schemas.openxmlformats.org/markup-compatibility/2006" xmlns:a14="http://schemas.microsoft.com/office/drawing/2010/main" val="802060" mc:Ignorable="a14" a14:legacySpreadsheetColorIndex="25"/>
                </a:bgClr>
              </a:pattFill>
              <a:ln w="12700">
                <a:solidFill>
                  <a:srgbClr val="000000"/>
                </a:solidFill>
                <a:prstDash val="solid"/>
              </a:ln>
            </c:spPr>
            <c:extLst>
              <c:ext xmlns:c16="http://schemas.microsoft.com/office/drawing/2014/chart" uri="{C3380CC4-5D6E-409C-BE32-E72D297353CC}">
                <c16:uniqueId val="{0000000B-4C1E-4F8D-BD44-5013E9FE91FE}"/>
              </c:ext>
            </c:extLst>
          </c:dPt>
          <c:dPt>
            <c:idx val="6"/>
            <c:invertIfNegative val="0"/>
            <c:bubble3D val="0"/>
            <c:spPr>
              <a:pattFill prst="wdUpDiag">
                <a:fgClr>
                  <a:srgbClr xmlns:mc="http://schemas.openxmlformats.org/markup-compatibility/2006" xmlns:a14="http://schemas.microsoft.com/office/drawing/2010/main" val="00FF00" mc:Ignorable="a14" a14:legacySpreadsheetColorIndex="1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4C1E-4F8D-BD44-5013E9FE91FE}"/>
              </c:ext>
            </c:extLst>
          </c:dPt>
          <c:dPt>
            <c:idx val="7"/>
            <c:invertIfNegative val="0"/>
            <c:bubble3D val="0"/>
            <c:spPr>
              <a:pattFill prst="solidDmnd">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802060" mc:Ignorable="a14" a14:legacySpreadsheetColorIndex="25"/>
                </a:bgClr>
              </a:pattFill>
              <a:ln w="12700">
                <a:solidFill>
                  <a:srgbClr val="000000"/>
                </a:solidFill>
                <a:prstDash val="solid"/>
              </a:ln>
            </c:spPr>
            <c:extLst>
              <c:ext xmlns:c16="http://schemas.microsoft.com/office/drawing/2014/chart" uri="{C3380CC4-5D6E-409C-BE32-E72D297353CC}">
                <c16:uniqueId val="{0000000F-4C1E-4F8D-BD44-5013E9FE91FE}"/>
              </c:ext>
            </c:extLst>
          </c:dPt>
          <c:dPt>
            <c:idx val="8"/>
            <c:invertIfNegative val="0"/>
            <c:bubble3D val="0"/>
            <c:spPr>
              <a:pattFill prst="narHorz">
                <a:fgClr>
                  <a:srgbClr xmlns:mc="http://schemas.openxmlformats.org/markup-compatibility/2006" xmlns:a14="http://schemas.microsoft.com/office/drawing/2010/main" val="FF0000" mc:Ignorable="a14" a14:legacySpreadsheetColorIndex="1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1-4C1E-4F8D-BD44-5013E9FE91FE}"/>
              </c:ext>
            </c:extLst>
          </c:dPt>
          <c:dPt>
            <c:idx val="9"/>
            <c:invertIfNegative val="0"/>
            <c:bubble3D val="0"/>
            <c:spPr>
              <a:pattFill prst="solidDmnd">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802060" mc:Ignorable="a14" a14:legacySpreadsheetColorIndex="25"/>
                </a:bgClr>
              </a:pattFill>
              <a:ln w="12700">
                <a:solidFill>
                  <a:srgbClr val="000000"/>
                </a:solidFill>
                <a:prstDash val="solid"/>
              </a:ln>
            </c:spPr>
            <c:extLst>
              <c:ext xmlns:c16="http://schemas.microsoft.com/office/drawing/2014/chart" uri="{C3380CC4-5D6E-409C-BE32-E72D297353CC}">
                <c16:uniqueId val="{00000013-4C1E-4F8D-BD44-5013E9FE91FE}"/>
              </c:ext>
            </c:extLst>
          </c:dPt>
          <c:dPt>
            <c:idx val="10"/>
            <c:invertIfNegative val="0"/>
            <c:bubble3D val="0"/>
            <c:spPr>
              <a:pattFill prst="wdUpDiag">
                <a:fgClr>
                  <a:srgbClr xmlns:mc="http://schemas.openxmlformats.org/markup-compatibility/2006" xmlns:a14="http://schemas.microsoft.com/office/drawing/2010/main" val="00FF00" mc:Ignorable="a14" a14:legacySpreadsheetColorIndex="1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5-4C1E-4F8D-BD44-5013E9FE91FE}"/>
              </c:ext>
            </c:extLst>
          </c:dPt>
          <c:dLbls>
            <c:spPr>
              <a:noFill/>
              <a:ln w="25400">
                <a:noFill/>
              </a:ln>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'DB-Übersicht'!$D$4:$N$6</c:f>
              <c:multiLvlStrCache>
                <c:ptCount val="11"/>
                <c:lvl>
                  <c:pt idx="0">
                    <c:v>6.500</c:v>
                  </c:pt>
                  <c:pt idx="1">
                    <c:v>7.500</c:v>
                  </c:pt>
                  <c:pt idx="2">
                    <c:v>8.500</c:v>
                  </c:pt>
                  <c:pt idx="3">
                    <c:v>.</c:v>
                  </c:pt>
                  <c:pt idx="4">
                    <c:v>7.500</c:v>
                  </c:pt>
                  <c:pt idx="5">
                    <c:v>8.500</c:v>
                  </c:pt>
                  <c:pt idx="6">
                    <c:v>9.500</c:v>
                  </c:pt>
                  <c:pt idx="7">
                    <c:v>.</c:v>
                  </c:pt>
                  <c:pt idx="8">
                    <c:v>6.500</c:v>
                  </c:pt>
                  <c:pt idx="9">
                    <c:v>7.500</c:v>
                  </c:pt>
                  <c:pt idx="10">
                    <c:v>8.500</c:v>
                  </c:pt>
                </c:lvl>
                <c:lvl>
                  <c:pt idx="0">
                    <c:v>niedrig</c:v>
                  </c:pt>
                  <c:pt idx="1">
                    <c:v>mittel</c:v>
                  </c:pt>
                  <c:pt idx="2">
                    <c:v>hoch</c:v>
                  </c:pt>
                  <c:pt idx="3">
                    <c:v>.</c:v>
                  </c:pt>
                  <c:pt idx="4">
                    <c:v>niedrig</c:v>
                  </c:pt>
                  <c:pt idx="5">
                    <c:v>mittel</c:v>
                  </c:pt>
                  <c:pt idx="6">
                    <c:v>hoch</c:v>
                  </c:pt>
                  <c:pt idx="7">
                    <c:v>.</c:v>
                  </c:pt>
                  <c:pt idx="8">
                    <c:v>niedrig</c:v>
                  </c:pt>
                  <c:pt idx="9">
                    <c:v>mittel</c:v>
                  </c:pt>
                  <c:pt idx="10">
                    <c:v>hoch</c:v>
                  </c:pt>
                </c:lvl>
                <c:lvl>
                  <c:pt idx="0">
                    <c:v>Milchkuh; Fleckvieh</c:v>
                  </c:pt>
                  <c:pt idx="4">
                    <c:v>Milchkuh; Holstein-Sbt.</c:v>
                  </c:pt>
                  <c:pt idx="8">
                    <c:v>Milchkuh; Braunvieh</c:v>
                  </c:pt>
                </c:lvl>
              </c:multiLvlStrCache>
            </c:multiLvlStrRef>
          </c:cat>
          <c:val>
            <c:numRef>
              <c:f>'DB-Übersicht'!$D$34:$N$34</c:f>
              <c:numCache>
                <c:formatCode>0.00\ </c:formatCode>
                <c:ptCount val="11"/>
                <c:pt idx="0">
                  <c:v>0.51668512254185694</c:v>
                </c:pt>
                <c:pt idx="1">
                  <c:v>0.47084883497412477</c:v>
                </c:pt>
                <c:pt idx="2">
                  <c:v>0.43748972148894272</c:v>
                </c:pt>
                <c:pt idx="4">
                  <c:v>0.50624899678741753</c:v>
                </c:pt>
                <c:pt idx="5">
                  <c:v>0.468897812694064</c:v>
                </c:pt>
                <c:pt idx="6">
                  <c:v>0.54726558281022197</c:v>
                </c:pt>
                <c:pt idx="8">
                  <c:v>0.54459590225266363</c:v>
                </c:pt>
                <c:pt idx="9">
                  <c:v>0.49808364961745305</c:v>
                </c:pt>
                <c:pt idx="10">
                  <c:v>0.46267785792998484</c:v>
                </c:pt>
              </c:numCache>
            </c:numRef>
          </c:val>
          <c:extLst>
            <c:ext xmlns:c16="http://schemas.microsoft.com/office/drawing/2014/chart" uri="{C3380CC4-5D6E-409C-BE32-E72D297353CC}">
              <c16:uniqueId val="{00000016-4C1E-4F8D-BD44-5013E9FE91FE}"/>
            </c:ext>
          </c:extLst>
        </c:ser>
        <c:dLbls>
          <c:showLegendKey val="0"/>
          <c:showVal val="0"/>
          <c:showCatName val="0"/>
          <c:showSerName val="0"/>
          <c:showPercent val="0"/>
          <c:showBubbleSize val="0"/>
        </c:dLbls>
        <c:gapWidth val="150"/>
        <c:axId val="172240896"/>
        <c:axId val="172242432"/>
      </c:barChart>
      <c:catAx>
        <c:axId val="172240896"/>
        <c:scaling>
          <c:orientation val="minMax"/>
        </c:scaling>
        <c:delete val="0"/>
        <c:axPos val="b"/>
        <c:numFmt formatCode="General" sourceLinked="1"/>
        <c:majorTickMark val="out"/>
        <c:minorTickMark val="out"/>
        <c:tickLblPos val="low"/>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de-DE"/>
          </a:p>
        </c:txPr>
        <c:crossAx val="172242432"/>
        <c:crosses val="autoZero"/>
        <c:auto val="0"/>
        <c:lblAlgn val="ctr"/>
        <c:lblOffset val="100"/>
        <c:tickLblSkip val="1"/>
        <c:tickMarkSkip val="1"/>
        <c:noMultiLvlLbl val="0"/>
      </c:catAx>
      <c:valAx>
        <c:axId val="172242432"/>
        <c:scaling>
          <c:orientation val="minMax"/>
          <c:min val="0.2"/>
        </c:scaling>
        <c:delete val="0"/>
        <c:axPos val="l"/>
        <c:majorGridlines>
          <c:spPr>
            <a:ln w="3175">
              <a:solidFill>
                <a:srgbClr val="000000"/>
              </a:solidFill>
              <a:prstDash val="sysDash"/>
            </a:ln>
          </c:spPr>
        </c:majorGridlines>
        <c:title>
          <c:tx>
            <c:rich>
              <a:bodyPr rot="0" vert="horz"/>
              <a:lstStyle/>
              <a:p>
                <a:pPr algn="ctr">
                  <a:defRPr sz="1200" b="1" i="0" u="none" strike="noStrike" baseline="0">
                    <a:solidFill>
                      <a:srgbClr val="000000"/>
                    </a:solidFill>
                    <a:latin typeface="Arial"/>
                    <a:ea typeface="Arial"/>
                    <a:cs typeface="Arial"/>
                  </a:defRPr>
                </a:pPr>
                <a:r>
                  <a:rPr lang="de-DE"/>
                  <a:t>€/kg Milch</a:t>
                </a:r>
              </a:p>
            </c:rich>
          </c:tx>
          <c:layout>
            <c:manualLayout>
              <c:xMode val="edge"/>
              <c:yMode val="edge"/>
              <c:x val="1.4447831530671466E-2"/>
              <c:y val="4.2993568254134966E-2"/>
            </c:manualLayout>
          </c:layout>
          <c:overlay val="0"/>
          <c:spPr>
            <a:noFill/>
            <a:ln w="25400">
              <a:noFill/>
            </a:ln>
          </c:spPr>
        </c:title>
        <c:numFmt formatCode="0.00\ "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de-DE"/>
          </a:p>
        </c:txPr>
        <c:crossAx val="17224089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Footer>&amp;L&amp;"Arial,Fett"&amp;14 9&amp;ZKalkulationsdaten Tierhaltung &amp;N   &amp;RLEL Schwäbisch Gmünd
&amp;D</c:oddFooter>
    </c:headerFooter>
    <c:pageMargins b="0.84" l="0.56000000000000005" r="0.73" t="0.63" header="0.51181102362204722" footer="0.5118110236220472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50" b="1" i="0" u="none" strike="noStrike" baseline="0">
                <a:solidFill>
                  <a:srgbClr val="000000"/>
                </a:solidFill>
                <a:latin typeface="Arial"/>
                <a:ea typeface="Arial"/>
                <a:cs typeface="Arial"/>
              </a:defRPr>
            </a:pPr>
            <a:r>
              <a:rPr lang="de-DE"/>
              <a:t>Deckungsbeiträge in der Färsenaufzucht (nach Grundfuttervollkosten)</a:t>
            </a:r>
          </a:p>
        </c:rich>
      </c:tx>
      <c:layout>
        <c:manualLayout>
          <c:xMode val="edge"/>
          <c:yMode val="edge"/>
          <c:x val="0.11351362852061296"/>
          <c:y val="9.4696399484613687E-3"/>
        </c:manualLayout>
      </c:layout>
      <c:overlay val="0"/>
      <c:spPr>
        <a:noFill/>
        <a:ln w="25400">
          <a:noFill/>
        </a:ln>
      </c:spPr>
    </c:title>
    <c:autoTitleDeleted val="0"/>
    <c:plotArea>
      <c:layout>
        <c:manualLayout>
          <c:layoutTarget val="inner"/>
          <c:xMode val="edge"/>
          <c:yMode val="edge"/>
          <c:x val="0.14054061472794274"/>
          <c:y val="0.1212123454004376"/>
          <c:w val="0.72540578832653524"/>
          <c:h val="0.72727407240262565"/>
        </c:manualLayout>
      </c:layout>
      <c:barChart>
        <c:barDir val="col"/>
        <c:grouping val="clustered"/>
        <c:varyColors val="0"/>
        <c:ser>
          <c:idx val="0"/>
          <c:order val="0"/>
          <c:tx>
            <c:v>DB je Tier</c:v>
          </c:tx>
          <c:spPr>
            <a:solidFill>
              <a:srgbClr val="8080FF"/>
            </a:solidFill>
            <a:ln w="12700">
              <a:solidFill>
                <a:srgbClr val="000000"/>
              </a:solidFill>
              <a:prstDash val="solid"/>
            </a:ln>
          </c:spPr>
          <c:invertIfNegative val="0"/>
          <c:dLbls>
            <c:numFmt formatCode="_-* #,##0\ \€_-;\-* #,##0\ \€_-;_-* &quot;-&quot;??\ \€_-;_-@_-" sourceLinked="0"/>
            <c:spPr>
              <a:noFill/>
              <a:ln w="25400">
                <a:noFill/>
              </a:ln>
            </c:spPr>
            <c:txPr>
              <a:bodyPr/>
              <a:lstStyle/>
              <a:p>
                <a:pPr>
                  <a:defRPr sz="1425" b="1" i="0" u="none" strike="noStrike" baseline="0">
                    <a:solidFill>
                      <a:srgbClr val="000000"/>
                    </a:solidFill>
                    <a:latin typeface="Arial"/>
                    <a:ea typeface="Arial"/>
                    <a:cs typeface="Arial"/>
                  </a:defRPr>
                </a:pPr>
                <a:endParaRPr lang="de-DE"/>
              </a:p>
            </c:txPr>
            <c:showLegendKey val="1"/>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'Grafik-DB-Färse'!$B$50:$D$50</c:f>
              <c:strCache>
                <c:ptCount val="3"/>
                <c:pt idx="0">
                  <c:v>30 Mon.</c:v>
                </c:pt>
                <c:pt idx="1">
                  <c:v>28 Mon.</c:v>
                </c:pt>
                <c:pt idx="2">
                  <c:v>26 Mon.</c:v>
                </c:pt>
              </c:strCache>
            </c:strRef>
          </c:cat>
          <c:val>
            <c:numRef>
              <c:f>'Grafik-DB-Färse'!$B$48:$D$48</c:f>
              <c:numCache>
                <c:formatCode>#,##0\ \ \ \ \ \ </c:formatCode>
                <c:ptCount val="3"/>
                <c:pt idx="0">
                  <c:v>4.4586508119145947</c:v>
                </c:pt>
                <c:pt idx="1">
                  <c:v>128.95117970703996</c:v>
                </c:pt>
                <c:pt idx="2">
                  <c:v>197.6213930757267</c:v>
                </c:pt>
              </c:numCache>
            </c:numRef>
          </c:val>
          <c:extLst>
            <c:ext xmlns:c16="http://schemas.microsoft.com/office/drawing/2014/chart" uri="{C3380CC4-5D6E-409C-BE32-E72D297353CC}">
              <c16:uniqueId val="{00000000-FD59-48EF-9082-A3F472A2C189}"/>
            </c:ext>
          </c:extLst>
        </c:ser>
        <c:ser>
          <c:idx val="1"/>
          <c:order val="1"/>
          <c:tx>
            <c:v>DB je Platz</c:v>
          </c:tx>
          <c:spPr>
            <a:pattFill prst="lgCheck">
              <a:fgClr>
                <a:srgbClr xmlns:mc="http://schemas.openxmlformats.org/markup-compatibility/2006" xmlns:a14="http://schemas.microsoft.com/office/drawing/2010/main" val="802060" mc:Ignorable="a14" a14:legacySpreadsheetColorIndex="2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0428322299818859E-2"/>
                  <c:y val="-2.7172532073813725E-2"/>
                </c:manualLayout>
              </c:layout>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59-48EF-9082-A3F472A2C189}"/>
                </c:ext>
              </c:extLst>
            </c:dLbl>
            <c:dLbl>
              <c:idx val="1"/>
              <c:layout>
                <c:manualLayout>
                  <c:x val="1.6464370384440211E-2"/>
                  <c:y val="-1.2154051404897847E-2"/>
                </c:manualLayout>
              </c:layout>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59-48EF-9082-A3F472A2C189}"/>
                </c:ext>
              </c:extLst>
            </c:dLbl>
            <c:dLbl>
              <c:idx val="2"/>
              <c:layout>
                <c:manualLayout>
                  <c:x val="1.2500418469061563E-2"/>
                  <c:y val="-6.9815188925635013E-3"/>
                </c:manualLayout>
              </c:layout>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59-48EF-9082-A3F472A2C189}"/>
                </c:ext>
              </c:extLst>
            </c:dLbl>
            <c:numFmt formatCode="_-* #,##0\ \€_-;\-* #,##0\ \€_-;_-* &quot;-&quot;??\ \€_-;_-@_-" sourceLinked="0"/>
            <c:spPr>
              <a:noFill/>
              <a:ln w="25400">
                <a:noFill/>
              </a:ln>
            </c:spPr>
            <c:txPr>
              <a:bodyPr/>
              <a:lstStyle/>
              <a:p>
                <a:pPr>
                  <a:defRPr sz="1425" b="1" i="0" u="none" strike="noStrike" baseline="0">
                    <a:solidFill>
                      <a:srgbClr val="000000"/>
                    </a:solidFill>
                    <a:latin typeface="Arial"/>
                    <a:ea typeface="Arial"/>
                    <a:cs typeface="Arial"/>
                  </a:defRPr>
                </a:pPr>
                <a:endParaRPr lang="de-DE"/>
              </a:p>
            </c:txPr>
            <c:showLegendKey val="1"/>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'Grafik-DB-Färse'!$B$50:$D$50</c:f>
              <c:strCache>
                <c:ptCount val="3"/>
                <c:pt idx="0">
                  <c:v>30 Mon.</c:v>
                </c:pt>
                <c:pt idx="1">
                  <c:v>28 Mon.</c:v>
                </c:pt>
                <c:pt idx="2">
                  <c:v>26 Mon.</c:v>
                </c:pt>
              </c:strCache>
            </c:strRef>
          </c:cat>
          <c:val>
            <c:numRef>
              <c:f>'Grafik-DB-Färse'!$B$49:$D$49</c:f>
              <c:numCache>
                <c:formatCode>#,##0\ \ \ \ \ \ </c:formatCode>
                <c:ptCount val="3"/>
                <c:pt idx="0">
                  <c:v>1.783460324765838</c:v>
                </c:pt>
                <c:pt idx="1">
                  <c:v>55.26479130301712</c:v>
                </c:pt>
                <c:pt idx="2">
                  <c:v>91.209873727258483</c:v>
                </c:pt>
              </c:numCache>
            </c:numRef>
          </c:val>
          <c:extLst>
            <c:ext xmlns:c16="http://schemas.microsoft.com/office/drawing/2014/chart" uri="{C3380CC4-5D6E-409C-BE32-E72D297353CC}">
              <c16:uniqueId val="{00000004-FD59-48EF-9082-A3F472A2C189}"/>
            </c:ext>
          </c:extLst>
        </c:ser>
        <c:dLbls>
          <c:showLegendKey val="0"/>
          <c:showVal val="0"/>
          <c:showCatName val="0"/>
          <c:showSerName val="0"/>
          <c:showPercent val="0"/>
          <c:showBubbleSize val="0"/>
        </c:dLbls>
        <c:gapWidth val="150"/>
        <c:axId val="172331392"/>
        <c:axId val="172333312"/>
      </c:barChart>
      <c:catAx>
        <c:axId val="172331392"/>
        <c:scaling>
          <c:orientation val="minMax"/>
        </c:scaling>
        <c:delete val="0"/>
        <c:axPos val="b"/>
        <c:title>
          <c:tx>
            <c:rich>
              <a:bodyPr/>
              <a:lstStyle/>
              <a:p>
                <a:pPr>
                  <a:defRPr sz="1425" b="1" i="0" u="none" strike="noStrike" baseline="0">
                    <a:solidFill>
                      <a:srgbClr val="000000"/>
                    </a:solidFill>
                    <a:latin typeface="Arial"/>
                    <a:ea typeface="Arial"/>
                    <a:cs typeface="Arial"/>
                  </a:defRPr>
                </a:pPr>
                <a:r>
                  <a:rPr lang="de-DE"/>
                  <a:t>Erstkalbealter in Monaten</a:t>
                </a:r>
              </a:p>
            </c:rich>
          </c:tx>
          <c:layout>
            <c:manualLayout>
              <c:xMode val="edge"/>
              <c:yMode val="edge"/>
              <c:x val="0.37189208171288801"/>
              <c:y val="0.93182006701005282"/>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425" b="1" i="0" u="none" strike="noStrike" baseline="0">
                <a:solidFill>
                  <a:srgbClr val="000000"/>
                </a:solidFill>
                <a:latin typeface="Arial"/>
                <a:ea typeface="Arial"/>
                <a:cs typeface="Arial"/>
              </a:defRPr>
            </a:pPr>
            <a:endParaRPr lang="de-DE"/>
          </a:p>
        </c:txPr>
        <c:crossAx val="172333312"/>
        <c:crosses val="autoZero"/>
        <c:auto val="1"/>
        <c:lblAlgn val="ctr"/>
        <c:lblOffset val="100"/>
        <c:tickLblSkip val="1"/>
        <c:tickMarkSkip val="1"/>
        <c:noMultiLvlLbl val="0"/>
      </c:catAx>
      <c:valAx>
        <c:axId val="172333312"/>
        <c:scaling>
          <c:orientation val="minMax"/>
        </c:scaling>
        <c:delete val="0"/>
        <c:axPos val="l"/>
        <c:majorGridlines>
          <c:spPr>
            <a:ln w="3175">
              <a:solidFill>
                <a:srgbClr val="000000"/>
              </a:solidFill>
              <a:prstDash val="solid"/>
            </a:ln>
          </c:spPr>
        </c:majorGridlines>
        <c:title>
          <c:tx>
            <c:rich>
              <a:bodyPr rot="0" vert="horz"/>
              <a:lstStyle/>
              <a:p>
                <a:pPr algn="ctr">
                  <a:defRPr sz="1750" b="1" i="0" u="none" strike="noStrike" baseline="0">
                    <a:solidFill>
                      <a:srgbClr val="000000"/>
                    </a:solidFill>
                    <a:latin typeface="Arial"/>
                    <a:ea typeface="Arial"/>
                    <a:cs typeface="Arial"/>
                  </a:defRPr>
                </a:pPr>
                <a:r>
                  <a:rPr lang="de-DE"/>
                  <a:t>€</a:t>
                </a:r>
              </a:p>
            </c:rich>
          </c:tx>
          <c:layout>
            <c:manualLayout>
              <c:xMode val="edge"/>
              <c:yMode val="edge"/>
              <c:x val="6.4864899248430682E-2"/>
              <c:y val="9.4696399484613687E-3"/>
            </c:manualLayout>
          </c:layout>
          <c:overlay val="0"/>
          <c:spPr>
            <a:noFill/>
            <a:ln w="25400">
              <a:noFill/>
            </a:ln>
          </c:spPr>
        </c:title>
        <c:numFmt formatCode="#,##0\ \ \ \ \ \ " sourceLinked="1"/>
        <c:majorTickMark val="out"/>
        <c:minorTickMark val="none"/>
        <c:tickLblPos val="nextTo"/>
        <c:spPr>
          <a:ln w="3175">
            <a:solidFill>
              <a:srgbClr val="000000"/>
            </a:solidFill>
            <a:prstDash val="solid"/>
          </a:ln>
        </c:spPr>
        <c:txPr>
          <a:bodyPr rot="0" vert="horz"/>
          <a:lstStyle/>
          <a:p>
            <a:pPr>
              <a:defRPr sz="1425" b="1" i="0" u="none" strike="noStrike" baseline="0">
                <a:solidFill>
                  <a:srgbClr val="000000"/>
                </a:solidFill>
                <a:latin typeface="Arial"/>
                <a:ea typeface="Arial"/>
                <a:cs typeface="Arial"/>
              </a:defRPr>
            </a:pPr>
            <a:endParaRPr lang="de-DE"/>
          </a:p>
        </c:txPr>
        <c:crossAx val="172331392"/>
        <c:crosses val="autoZero"/>
        <c:crossBetween val="between"/>
      </c:valAx>
      <c:spPr>
        <a:solidFill>
          <a:srgbClr val="E3E3E3"/>
        </a:solidFill>
        <a:ln w="12700">
          <a:solidFill>
            <a:srgbClr val="808080"/>
          </a:solidFill>
          <a:prstDash val="solid"/>
        </a:ln>
      </c:spPr>
    </c:plotArea>
    <c:legend>
      <c:legendPos val="r"/>
      <c:legendEntry>
        <c:idx val="0"/>
        <c:txPr>
          <a:bodyPr/>
          <a:lstStyle/>
          <a:p>
            <a:pPr>
              <a:defRPr sz="900" b="0" i="0" u="none" strike="noStrike" baseline="0">
                <a:solidFill>
                  <a:srgbClr val="000000"/>
                </a:solidFill>
                <a:latin typeface="Arial"/>
                <a:ea typeface="Arial"/>
                <a:cs typeface="Arial"/>
              </a:defRPr>
            </a:pPr>
            <a:endParaRPr lang="de-DE"/>
          </a:p>
        </c:txPr>
      </c:legendEntry>
      <c:legendEntry>
        <c:idx val="1"/>
        <c:txPr>
          <a:bodyPr/>
          <a:lstStyle/>
          <a:p>
            <a:pPr>
              <a:defRPr sz="900" b="0" i="0" u="none" strike="noStrike" baseline="0">
                <a:solidFill>
                  <a:srgbClr val="000000"/>
                </a:solidFill>
                <a:latin typeface="Arial"/>
                <a:ea typeface="Arial"/>
                <a:cs typeface="Arial"/>
              </a:defRPr>
            </a:pPr>
            <a:endParaRPr lang="de-DE"/>
          </a:p>
        </c:txPr>
      </c:legendEntry>
      <c:layout>
        <c:manualLayout>
          <c:xMode val="edge"/>
          <c:yMode val="edge"/>
          <c:x val="0.88079528666048634"/>
          <c:y val="0.45759808755709874"/>
          <c:w val="0.10690645583667957"/>
          <c:h val="9.5406479113070208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pageMargins b="0.62" l="0.78740157499999996" r="0.78740157499999996" t="0.64" header="0.4921259845" footer="0.4921259845"/>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de-DE"/>
              <a:t>Selbstversorgungsgrad bei Vollmilch</a:t>
            </a:r>
          </a:p>
        </c:rich>
      </c:tx>
      <c:layout>
        <c:manualLayout>
          <c:xMode val="edge"/>
          <c:yMode val="edge"/>
          <c:x val="0.14586716467714625"/>
          <c:y val="3.157893599970623E-2"/>
        </c:manualLayout>
      </c:layout>
      <c:overlay val="0"/>
      <c:spPr>
        <a:noFill/>
        <a:ln w="25400">
          <a:noFill/>
        </a:ln>
      </c:spPr>
    </c:title>
    <c:autoTitleDeleted val="0"/>
    <c:plotArea>
      <c:layout>
        <c:manualLayout>
          <c:layoutTarget val="inner"/>
          <c:xMode val="edge"/>
          <c:yMode val="edge"/>
          <c:x val="6.1588330632090758E-2"/>
          <c:y val="0.20701825321495756"/>
          <c:w val="0.92868719611021067"/>
          <c:h val="0.61754597569207681"/>
        </c:manualLayout>
      </c:layout>
      <c:lineChart>
        <c:grouping val="standard"/>
        <c:varyColors val="0"/>
        <c:ser>
          <c:idx val="0"/>
          <c:order val="0"/>
          <c:tx>
            <c:strRef>
              <c:f>Strukturentwicklung!$Q$114</c:f>
              <c:strCache>
                <c:ptCount val="1"/>
                <c:pt idx="0">
                  <c:v>EG / EU</c:v>
                </c:pt>
              </c:strCache>
            </c:strRef>
          </c:tx>
          <c:spPr>
            <a:ln w="38100">
              <a:solidFill>
                <a:srgbClr val="000080"/>
              </a:solidFill>
              <a:prstDash val="solid"/>
            </a:ln>
          </c:spPr>
          <c:marker>
            <c:symbol val="diamond"/>
            <c:size val="9"/>
            <c:spPr>
              <a:solidFill>
                <a:srgbClr val="000080"/>
              </a:solidFill>
              <a:ln>
                <a:solidFill>
                  <a:srgbClr val="000080"/>
                </a:solidFill>
                <a:prstDash val="solid"/>
              </a:ln>
            </c:spPr>
          </c:marker>
          <c:dLbls>
            <c:dLbl>
              <c:idx val="0"/>
              <c:layout>
                <c:manualLayout>
                  <c:x val="-1.0766344644520739E-2"/>
                  <c:y val="-2.667816177843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82-4BF9-9118-A32BDB31467D}"/>
                </c:ext>
              </c:extLst>
            </c:dLbl>
            <c:dLbl>
              <c:idx val="1"/>
              <c:delete val="1"/>
              <c:extLst>
                <c:ext xmlns:c15="http://schemas.microsoft.com/office/drawing/2012/chart" uri="{CE6537A1-D6FC-4f65-9D91-7224C49458BB}"/>
                <c:ext xmlns:c16="http://schemas.microsoft.com/office/drawing/2014/chart" uri="{C3380CC4-5D6E-409C-BE32-E72D297353CC}">
                  <c16:uniqueId val="{00000001-DE82-4BF9-9118-A32BDB31467D}"/>
                </c:ext>
              </c:extLst>
            </c:dLbl>
            <c:dLbl>
              <c:idx val="2"/>
              <c:delete val="1"/>
              <c:extLst>
                <c:ext xmlns:c15="http://schemas.microsoft.com/office/drawing/2012/chart" uri="{CE6537A1-D6FC-4f65-9D91-7224C49458BB}"/>
                <c:ext xmlns:c16="http://schemas.microsoft.com/office/drawing/2014/chart" uri="{C3380CC4-5D6E-409C-BE32-E72D297353CC}">
                  <c16:uniqueId val="{00000002-DE82-4BF9-9118-A32BDB31467D}"/>
                </c:ext>
              </c:extLst>
            </c:dLbl>
            <c:dLbl>
              <c:idx val="3"/>
              <c:layout>
                <c:manualLayout>
                  <c:x val="-2.4312033929308483E-3"/>
                  <c:y val="-4.1727061268351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82-4BF9-9118-A32BDB31467D}"/>
                </c:ext>
              </c:extLst>
            </c:dLbl>
            <c:dLbl>
              <c:idx val="4"/>
              <c:delete val="1"/>
              <c:extLst>
                <c:ext xmlns:c15="http://schemas.microsoft.com/office/drawing/2012/chart" uri="{CE6537A1-D6FC-4f65-9D91-7224C49458BB}"/>
                <c:ext xmlns:c16="http://schemas.microsoft.com/office/drawing/2014/chart" uri="{C3380CC4-5D6E-409C-BE32-E72D297353CC}">
                  <c16:uniqueId val="{00000004-DE82-4BF9-9118-A32BDB31467D}"/>
                </c:ext>
              </c:extLst>
            </c:dLbl>
            <c:dLbl>
              <c:idx val="5"/>
              <c:delete val="1"/>
              <c:extLst>
                <c:ext xmlns:c15="http://schemas.microsoft.com/office/drawing/2012/chart" uri="{CE6537A1-D6FC-4f65-9D91-7224C49458BB}"/>
                <c:ext xmlns:c16="http://schemas.microsoft.com/office/drawing/2014/chart" uri="{C3380CC4-5D6E-409C-BE32-E72D297353CC}">
                  <c16:uniqueId val="{00000005-DE82-4BF9-9118-A32BDB31467D}"/>
                </c:ext>
              </c:extLst>
            </c:dLbl>
            <c:dLbl>
              <c:idx val="6"/>
              <c:delete val="1"/>
              <c:extLst>
                <c:ext xmlns:c15="http://schemas.microsoft.com/office/drawing/2012/chart" uri="{CE6537A1-D6FC-4f65-9D91-7224C49458BB}"/>
                <c:ext xmlns:c16="http://schemas.microsoft.com/office/drawing/2014/chart" uri="{C3380CC4-5D6E-409C-BE32-E72D297353CC}">
                  <c16:uniqueId val="{00000006-DE82-4BF9-9118-A32BDB31467D}"/>
                </c:ext>
              </c:extLst>
            </c:dLbl>
            <c:dLbl>
              <c:idx val="7"/>
              <c:delete val="1"/>
              <c:extLst>
                <c:ext xmlns:c15="http://schemas.microsoft.com/office/drawing/2012/chart" uri="{CE6537A1-D6FC-4f65-9D91-7224C49458BB}"/>
                <c:ext xmlns:c16="http://schemas.microsoft.com/office/drawing/2014/chart" uri="{C3380CC4-5D6E-409C-BE32-E72D297353CC}">
                  <c16:uniqueId val="{00000007-DE82-4BF9-9118-A32BDB31467D}"/>
                </c:ext>
              </c:extLst>
            </c:dLbl>
            <c:dLbl>
              <c:idx val="8"/>
              <c:layout>
                <c:manualLayout>
                  <c:x val="-4.7465298604287519E-3"/>
                  <c:y val="-4.5235845221147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E82-4BF9-9118-A32BDB31467D}"/>
                </c:ext>
              </c:extLst>
            </c:dLbl>
            <c:dLbl>
              <c:idx val="9"/>
              <c:delete val="1"/>
              <c:extLst>
                <c:ext xmlns:c15="http://schemas.microsoft.com/office/drawing/2012/chart" uri="{CE6537A1-D6FC-4f65-9D91-7224C49458BB}"/>
                <c:ext xmlns:c16="http://schemas.microsoft.com/office/drawing/2014/chart" uri="{C3380CC4-5D6E-409C-BE32-E72D297353CC}">
                  <c16:uniqueId val="{00000009-DE82-4BF9-9118-A32BDB31467D}"/>
                </c:ext>
              </c:extLst>
            </c:dLbl>
            <c:dLbl>
              <c:idx val="10"/>
              <c:delete val="1"/>
              <c:extLst>
                <c:ext xmlns:c15="http://schemas.microsoft.com/office/drawing/2012/chart" uri="{CE6537A1-D6FC-4f65-9D91-7224C49458BB}"/>
                <c:ext xmlns:c16="http://schemas.microsoft.com/office/drawing/2014/chart" uri="{C3380CC4-5D6E-409C-BE32-E72D297353CC}">
                  <c16:uniqueId val="{0000000A-DE82-4BF9-9118-A32BDB31467D}"/>
                </c:ext>
              </c:extLst>
            </c:dLbl>
            <c:dLbl>
              <c:idx val="11"/>
              <c:delete val="1"/>
              <c:extLst>
                <c:ext xmlns:c15="http://schemas.microsoft.com/office/drawing/2012/chart" uri="{CE6537A1-D6FC-4f65-9D91-7224C49458BB}"/>
                <c:ext xmlns:c16="http://schemas.microsoft.com/office/drawing/2014/chart" uri="{C3380CC4-5D6E-409C-BE32-E72D297353CC}">
                  <c16:uniqueId val="{0000000B-DE82-4BF9-9118-A32BDB31467D}"/>
                </c:ext>
              </c:extLst>
            </c:dLbl>
            <c:dLbl>
              <c:idx val="12"/>
              <c:layout>
                <c:manualLayout>
                  <c:x val="-3.0909872084465887E-2"/>
                  <c:y val="-4.2039122990112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E82-4BF9-9118-A32BDB31467D}"/>
                </c:ext>
              </c:extLst>
            </c:dLbl>
            <c:dLbl>
              <c:idx val="13"/>
              <c:layout>
                <c:manualLayout>
                  <c:x val="-2.9752293929223177E-2"/>
                  <c:y val="-4.5391691894525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E82-4BF9-9118-A32BDB31467D}"/>
                </c:ext>
              </c:extLst>
            </c:dLbl>
            <c:dLbl>
              <c:idx val="14"/>
              <c:layout>
                <c:manualLayout>
                  <c:x val="-2.2111563445168982E-2"/>
                  <c:y val="-3.10448627365866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E82-4BF9-9118-A32BDB31467D}"/>
                </c:ext>
              </c:extLst>
            </c:dLbl>
            <c:dLbl>
              <c:idx val="15"/>
              <c:delete val="1"/>
              <c:extLst>
                <c:ext xmlns:c15="http://schemas.microsoft.com/office/drawing/2012/chart" uri="{CE6537A1-D6FC-4f65-9D91-7224C49458BB}"/>
                <c:ext xmlns:c16="http://schemas.microsoft.com/office/drawing/2014/chart" uri="{C3380CC4-5D6E-409C-BE32-E72D297353CC}">
                  <c16:uniqueId val="{0000000F-DE82-4BF9-9118-A32BDB31467D}"/>
                </c:ext>
              </c:extLst>
            </c:dLbl>
            <c:dLbl>
              <c:idx val="16"/>
              <c:layout>
                <c:manualLayout>
                  <c:x val="-2.4658473606520397E-2"/>
                  <c:y val="-2.40272948309948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E82-4BF9-9118-A32BDB31467D}"/>
                </c:ext>
              </c:extLst>
            </c:dLbl>
            <c:dLbl>
              <c:idx val="17"/>
              <c:tx>
                <c:rich>
                  <a:bodyPr/>
                  <a:lstStyle/>
                  <a:p>
                    <a:r>
                      <a:rPr lang="en-US"/>
                      <a:t>
</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E82-4BF9-9118-A32BDB31467D}"/>
                </c:ext>
              </c:extLst>
            </c:dLbl>
            <c:dLbl>
              <c:idx val="18"/>
              <c:layout>
                <c:manualLayout>
                  <c:x val="-2.8826129310821475E-2"/>
                  <c:y val="-3.1356556083341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E82-4BF9-9118-A32BDB31467D}"/>
                </c:ext>
              </c:extLst>
            </c:dLbl>
            <c:dLbl>
              <c:idx val="19"/>
              <c:layout>
                <c:manualLayout>
                  <c:x val="-2.9289126541516157E-2"/>
                  <c:y val="-3.1356556083341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E82-4BF9-9118-A32BDB31467D}"/>
                </c:ext>
              </c:extLst>
            </c:dLbl>
            <c:dLbl>
              <c:idx val="20"/>
              <c:layout>
                <c:manualLayout>
                  <c:x val="-1.9448946515397227E-3"/>
                  <c:y val="-3.8374123988933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E82-4BF9-9118-A32BDB31467D}"/>
                </c:ext>
              </c:extLst>
            </c:dLbl>
            <c:dLbl>
              <c:idx val="22"/>
              <c:layout>
                <c:manualLayout>
                  <c:x val="-2.0823509118729419E-3"/>
                  <c:y val="-2.7432708861196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E82-4BF9-9118-A32BDB31467D}"/>
                </c:ext>
              </c:extLst>
            </c:dLbl>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Strukturentwicklung!$P$120:$P$142</c:f>
              <c:numCache>
                <c:formatCode>General</c:formatCode>
                <c:ptCount val="23"/>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numCache>
            </c:numRef>
          </c:cat>
          <c:val>
            <c:numRef>
              <c:f>Strukturentwicklung!$Q$120:$Q$142</c:f>
              <c:numCache>
                <c:formatCode>General</c:formatCode>
                <c:ptCount val="23"/>
                <c:pt idx="0">
                  <c:v>110</c:v>
                </c:pt>
                <c:pt idx="1">
                  <c:v>108</c:v>
                </c:pt>
                <c:pt idx="2">
                  <c:v>107</c:v>
                </c:pt>
                <c:pt idx="3">
                  <c:v>108</c:v>
                </c:pt>
                <c:pt idx="4">
                  <c:v>107</c:v>
                </c:pt>
                <c:pt idx="5">
                  <c:v>107</c:v>
                </c:pt>
                <c:pt idx="6">
                  <c:v>108</c:v>
                </c:pt>
                <c:pt idx="7">
                  <c:v>108</c:v>
                </c:pt>
                <c:pt idx="8">
                  <c:v>108</c:v>
                </c:pt>
                <c:pt idx="9">
                  <c:v>107</c:v>
                </c:pt>
                <c:pt idx="10">
                  <c:v>110</c:v>
                </c:pt>
                <c:pt idx="11">
                  <c:v>109</c:v>
                </c:pt>
                <c:pt idx="12">
                  <c:v>107</c:v>
                </c:pt>
                <c:pt idx="13">
                  <c:v>108</c:v>
                </c:pt>
                <c:pt idx="14">
                  <c:v>107</c:v>
                </c:pt>
                <c:pt idx="15">
                  <c:v>109</c:v>
                </c:pt>
                <c:pt idx="16">
                  <c:v>109</c:v>
                </c:pt>
                <c:pt idx="17">
                  <c:v>109</c:v>
                </c:pt>
                <c:pt idx="18">
                  <c:v>109</c:v>
                </c:pt>
                <c:pt idx="19">
                  <c:v>111</c:v>
                </c:pt>
                <c:pt idx="20">
                  <c:v>111</c:v>
                </c:pt>
                <c:pt idx="21">
                  <c:v>112</c:v>
                </c:pt>
                <c:pt idx="22">
                  <c:v>114</c:v>
                </c:pt>
              </c:numCache>
            </c:numRef>
          </c:val>
          <c:smooth val="0"/>
          <c:extLst>
            <c:ext xmlns:c16="http://schemas.microsoft.com/office/drawing/2014/chart" uri="{C3380CC4-5D6E-409C-BE32-E72D297353CC}">
              <c16:uniqueId val="{00000016-DE82-4BF9-9118-A32BDB31467D}"/>
            </c:ext>
          </c:extLst>
        </c:ser>
        <c:ser>
          <c:idx val="1"/>
          <c:order val="1"/>
          <c:tx>
            <c:strRef>
              <c:f>Strukturentwicklung!$R$114</c:f>
              <c:strCache>
                <c:ptCount val="1"/>
                <c:pt idx="0">
                  <c:v>Bundesgebiet</c:v>
                </c:pt>
              </c:strCache>
            </c:strRef>
          </c:tx>
          <c:spPr>
            <a:ln w="38100">
              <a:solidFill>
                <a:srgbClr val="FF00FF"/>
              </a:solidFill>
              <a:prstDash val="solid"/>
            </a:ln>
          </c:spPr>
          <c:marker>
            <c:symbol val="circle"/>
            <c:size val="9"/>
            <c:spPr>
              <a:solidFill>
                <a:srgbClr val="FF00FF"/>
              </a:solidFill>
              <a:ln>
                <a:solidFill>
                  <a:srgbClr val="FF00FF"/>
                </a:solidFill>
                <a:prstDash val="solid"/>
              </a:ln>
            </c:spPr>
          </c:marker>
          <c:dLbls>
            <c:dLbl>
              <c:idx val="0"/>
              <c:layout>
                <c:manualLayout>
                  <c:x val="-4.9664237675314901E-2"/>
                  <c:y val="-6.5820640542785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E82-4BF9-9118-A32BDB31467D}"/>
                </c:ext>
              </c:extLst>
            </c:dLbl>
            <c:dLbl>
              <c:idx val="1"/>
              <c:delete val="1"/>
              <c:extLst>
                <c:ext xmlns:c15="http://schemas.microsoft.com/office/drawing/2012/chart" uri="{CE6537A1-D6FC-4f65-9D91-7224C49458BB}"/>
                <c:ext xmlns:c16="http://schemas.microsoft.com/office/drawing/2014/chart" uri="{C3380CC4-5D6E-409C-BE32-E72D297353CC}">
                  <c16:uniqueId val="{00000018-DE82-4BF9-9118-A32BDB31467D}"/>
                </c:ext>
              </c:extLst>
            </c:dLbl>
            <c:dLbl>
              <c:idx val="2"/>
              <c:delete val="1"/>
              <c:extLst>
                <c:ext xmlns:c15="http://schemas.microsoft.com/office/drawing/2012/chart" uri="{CE6537A1-D6FC-4f65-9D91-7224C49458BB}"/>
                <c:ext xmlns:c16="http://schemas.microsoft.com/office/drawing/2014/chart" uri="{C3380CC4-5D6E-409C-BE32-E72D297353CC}">
                  <c16:uniqueId val="{00000019-DE82-4BF9-9118-A32BDB31467D}"/>
                </c:ext>
              </c:extLst>
            </c:dLbl>
            <c:dLbl>
              <c:idx val="3"/>
              <c:layout>
                <c:manualLayout>
                  <c:x val="2.4310332359184219E-3"/>
                  <c:y val="2.23664982972443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E82-4BF9-9118-A32BDB31467D}"/>
                </c:ext>
              </c:extLst>
            </c:dLbl>
            <c:dLbl>
              <c:idx val="4"/>
              <c:delete val="1"/>
              <c:extLst>
                <c:ext xmlns:c15="http://schemas.microsoft.com/office/drawing/2012/chart" uri="{CE6537A1-D6FC-4f65-9D91-7224C49458BB}"/>
                <c:ext xmlns:c16="http://schemas.microsoft.com/office/drawing/2014/chart" uri="{C3380CC4-5D6E-409C-BE32-E72D297353CC}">
                  <c16:uniqueId val="{0000001B-DE82-4BF9-9118-A32BDB31467D}"/>
                </c:ext>
              </c:extLst>
            </c:dLbl>
            <c:dLbl>
              <c:idx val="5"/>
              <c:delete val="1"/>
              <c:extLst>
                <c:ext xmlns:c15="http://schemas.microsoft.com/office/drawing/2012/chart" uri="{CE6537A1-D6FC-4f65-9D91-7224C49458BB}"/>
                <c:ext xmlns:c16="http://schemas.microsoft.com/office/drawing/2014/chart" uri="{C3380CC4-5D6E-409C-BE32-E72D297353CC}">
                  <c16:uniqueId val="{0000001C-DE82-4BF9-9118-A32BDB31467D}"/>
                </c:ext>
              </c:extLst>
            </c:dLbl>
            <c:dLbl>
              <c:idx val="6"/>
              <c:delete val="1"/>
              <c:extLst>
                <c:ext xmlns:c15="http://schemas.microsoft.com/office/drawing/2012/chart" uri="{CE6537A1-D6FC-4f65-9D91-7224C49458BB}"/>
                <c:ext xmlns:c16="http://schemas.microsoft.com/office/drawing/2014/chart" uri="{C3380CC4-5D6E-409C-BE32-E72D297353CC}">
                  <c16:uniqueId val="{0000001D-DE82-4BF9-9118-A32BDB31467D}"/>
                </c:ext>
              </c:extLst>
            </c:dLbl>
            <c:dLbl>
              <c:idx val="7"/>
              <c:delete val="1"/>
              <c:extLst>
                <c:ext xmlns:c15="http://schemas.microsoft.com/office/drawing/2012/chart" uri="{CE6537A1-D6FC-4f65-9D91-7224C49458BB}"/>
                <c:ext xmlns:c16="http://schemas.microsoft.com/office/drawing/2014/chart" uri="{C3380CC4-5D6E-409C-BE32-E72D297353CC}">
                  <c16:uniqueId val="{0000001E-DE82-4BF9-9118-A32BDB31467D}"/>
                </c:ext>
              </c:extLst>
            </c:dLbl>
            <c:dLbl>
              <c:idx val="8"/>
              <c:layout>
                <c:manualLayout>
                  <c:x val="1.1570676842054866E-4"/>
                  <c:y val="3.35169735991531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E82-4BF9-9118-A32BDB31467D}"/>
                </c:ext>
              </c:extLst>
            </c:dLbl>
            <c:dLbl>
              <c:idx val="9"/>
              <c:delete val="1"/>
              <c:extLst>
                <c:ext xmlns:c15="http://schemas.microsoft.com/office/drawing/2012/chart" uri="{CE6537A1-D6FC-4f65-9D91-7224C49458BB}"/>
                <c:ext xmlns:c16="http://schemas.microsoft.com/office/drawing/2014/chart" uri="{C3380CC4-5D6E-409C-BE32-E72D297353CC}">
                  <c16:uniqueId val="{00000020-DE82-4BF9-9118-A32BDB31467D}"/>
                </c:ext>
              </c:extLst>
            </c:dLbl>
            <c:dLbl>
              <c:idx val="10"/>
              <c:delete val="1"/>
              <c:extLst>
                <c:ext xmlns:c15="http://schemas.microsoft.com/office/drawing/2012/chart" uri="{CE6537A1-D6FC-4f65-9D91-7224C49458BB}"/>
                <c:ext xmlns:c16="http://schemas.microsoft.com/office/drawing/2014/chart" uri="{C3380CC4-5D6E-409C-BE32-E72D297353CC}">
                  <c16:uniqueId val="{00000021-DE82-4BF9-9118-A32BDB31467D}"/>
                </c:ext>
              </c:extLst>
            </c:dLbl>
            <c:dLbl>
              <c:idx val="11"/>
              <c:delete val="1"/>
              <c:extLst>
                <c:ext xmlns:c15="http://schemas.microsoft.com/office/drawing/2012/chart" uri="{CE6537A1-D6FC-4f65-9D91-7224C49458BB}"/>
                <c:ext xmlns:c16="http://schemas.microsoft.com/office/drawing/2014/chart" uri="{C3380CC4-5D6E-409C-BE32-E72D297353CC}">
                  <c16:uniqueId val="{00000022-DE82-4BF9-9118-A32BDB31467D}"/>
                </c:ext>
              </c:extLst>
            </c:dLbl>
            <c:dLbl>
              <c:idx val="12"/>
              <c:layout>
                <c:manualLayout>
                  <c:x val="-3.3571978543200645E-3"/>
                  <c:y val="2.2834406692382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E82-4BF9-9118-A32BDB31467D}"/>
                </c:ext>
              </c:extLst>
            </c:dLbl>
            <c:dLbl>
              <c:idx val="13"/>
              <c:layout>
                <c:manualLayout>
                  <c:x val="-8.6826018708763206E-3"/>
                  <c:y val="-1.62301251835103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E82-4BF9-9118-A32BDB31467D}"/>
                </c:ext>
              </c:extLst>
            </c:dLbl>
            <c:dLbl>
              <c:idx val="14"/>
              <c:delete val="1"/>
              <c:extLst>
                <c:ext xmlns:c15="http://schemas.microsoft.com/office/drawing/2012/chart" uri="{CE6537A1-D6FC-4f65-9D91-7224C49458BB}"/>
                <c:ext xmlns:c16="http://schemas.microsoft.com/office/drawing/2014/chart" uri="{C3380CC4-5D6E-409C-BE32-E72D297353CC}">
                  <c16:uniqueId val="{00000025-DE82-4BF9-9118-A32BDB31467D}"/>
                </c:ext>
              </c:extLst>
            </c:dLbl>
            <c:dLbl>
              <c:idx val="15"/>
              <c:layout>
                <c:manualLayout>
                  <c:x val="-1.2850257575177508E-2"/>
                  <c:y val="-1.9426847414545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E82-4BF9-9118-A32BDB31467D}"/>
                </c:ext>
              </c:extLst>
            </c:dLbl>
            <c:dLbl>
              <c:idx val="17"/>
              <c:delete val="1"/>
              <c:extLst>
                <c:ext xmlns:c15="http://schemas.microsoft.com/office/drawing/2012/chart" uri="{CE6537A1-D6FC-4f65-9D91-7224C49458BB}"/>
                <c:ext xmlns:c16="http://schemas.microsoft.com/office/drawing/2014/chart" uri="{C3380CC4-5D6E-409C-BE32-E72D297353CC}">
                  <c16:uniqueId val="{00000027-DE82-4BF9-9118-A32BDB31467D}"/>
                </c:ext>
              </c:extLst>
            </c:dLbl>
            <c:dLbl>
              <c:idx val="18"/>
              <c:layout>
                <c:manualLayout>
                  <c:x val="-5.3137312455067878E-2"/>
                  <c:y val="2.14310498819743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E82-4BF9-9118-A32BDB31467D}"/>
                </c:ext>
              </c:extLst>
            </c:dLbl>
            <c:dLbl>
              <c:idx val="19"/>
              <c:layout>
                <c:manualLayout>
                  <c:x val="-2.9289126541516157E-2"/>
                  <c:y val="2.603149729842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E82-4BF9-9118-A32BDB31467D}"/>
                </c:ext>
              </c:extLst>
            </c:dLbl>
            <c:dLbl>
              <c:idx val="20"/>
              <c:layout>
                <c:manualLayout>
                  <c:x val="-1.9448946515397227E-3"/>
                  <c:y val="2.95402812512193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E82-4BF9-9118-A32BDB31467D}"/>
                </c:ext>
              </c:extLst>
            </c:dLbl>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Strukturentwicklung!$P$120:$P$142</c:f>
              <c:numCache>
                <c:formatCode>General</c:formatCode>
                <c:ptCount val="23"/>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numCache>
            </c:numRef>
          </c:cat>
          <c:val>
            <c:numRef>
              <c:f>Strukturentwicklung!$R$120:$R$140</c:f>
              <c:numCache>
                <c:formatCode>General</c:formatCode>
                <c:ptCount val="21"/>
                <c:pt idx="0">
                  <c:v>102</c:v>
                </c:pt>
                <c:pt idx="1">
                  <c:v>102</c:v>
                </c:pt>
                <c:pt idx="2">
                  <c:v>98</c:v>
                </c:pt>
                <c:pt idx="3">
                  <c:v>100</c:v>
                </c:pt>
                <c:pt idx="4">
                  <c:v>97</c:v>
                </c:pt>
                <c:pt idx="5">
                  <c:v>97</c:v>
                </c:pt>
                <c:pt idx="6">
                  <c:v>98</c:v>
                </c:pt>
                <c:pt idx="7">
                  <c:v>98</c:v>
                </c:pt>
                <c:pt idx="8">
                  <c:v>101</c:v>
                </c:pt>
                <c:pt idx="9">
                  <c:v>101</c:v>
                </c:pt>
                <c:pt idx="10">
                  <c:v>99</c:v>
                </c:pt>
                <c:pt idx="11">
                  <c:v>102</c:v>
                </c:pt>
                <c:pt idx="12">
                  <c:v>101</c:v>
                </c:pt>
                <c:pt idx="13">
                  <c:v>100</c:v>
                </c:pt>
                <c:pt idx="14">
                  <c:v>98</c:v>
                </c:pt>
                <c:pt idx="15">
                  <c:v>107</c:v>
                </c:pt>
                <c:pt idx="16">
                  <c:v>108</c:v>
                </c:pt>
                <c:pt idx="17">
                  <c:v>101</c:v>
                </c:pt>
                <c:pt idx="18">
                  <c:v>101</c:v>
                </c:pt>
                <c:pt idx="19">
                  <c:v>103</c:v>
                </c:pt>
                <c:pt idx="20">
                  <c:v>102</c:v>
                </c:pt>
              </c:numCache>
            </c:numRef>
          </c:val>
          <c:smooth val="0"/>
          <c:extLst>
            <c:ext xmlns:c16="http://schemas.microsoft.com/office/drawing/2014/chart" uri="{C3380CC4-5D6E-409C-BE32-E72D297353CC}">
              <c16:uniqueId val="{0000002B-DE82-4BF9-9118-A32BDB31467D}"/>
            </c:ext>
          </c:extLst>
        </c:ser>
        <c:ser>
          <c:idx val="2"/>
          <c:order val="2"/>
          <c:tx>
            <c:strRef>
              <c:f>Strukturentwicklung!$S$114</c:f>
              <c:strCache>
                <c:ptCount val="1"/>
                <c:pt idx="0">
                  <c:v>Ba.-Wü.</c:v>
                </c:pt>
              </c:strCache>
            </c:strRef>
          </c:tx>
          <c:spPr>
            <a:ln w="38100">
              <a:solidFill>
                <a:srgbClr val="333300"/>
              </a:solidFill>
              <a:prstDash val="solid"/>
            </a:ln>
          </c:spPr>
          <c:marker>
            <c:symbol val="triangle"/>
            <c:size val="5"/>
            <c:spPr>
              <a:solidFill>
                <a:srgbClr val="FFFF00"/>
              </a:solidFill>
              <a:ln>
                <a:solidFill>
                  <a:srgbClr val="333300"/>
                </a:solidFill>
                <a:prstDash val="solid"/>
              </a:ln>
            </c:spPr>
          </c:marker>
          <c:dLbls>
            <c:dLbl>
              <c:idx val="0"/>
              <c:layout>
                <c:manualLayout>
                  <c:x val="-4.0480012931932943E-2"/>
                  <c:y val="-2.4659089697674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E82-4BF9-9118-A32BDB31467D}"/>
                </c:ext>
              </c:extLst>
            </c:dLbl>
            <c:dLbl>
              <c:idx val="1"/>
              <c:delete val="1"/>
              <c:extLst>
                <c:ext xmlns:c15="http://schemas.microsoft.com/office/drawing/2012/chart" uri="{CE6537A1-D6FC-4f65-9D91-7224C49458BB}"/>
                <c:ext xmlns:c16="http://schemas.microsoft.com/office/drawing/2014/chart" uri="{C3380CC4-5D6E-409C-BE32-E72D297353CC}">
                  <c16:uniqueId val="{0000002D-DE82-4BF9-9118-A32BDB31467D}"/>
                </c:ext>
              </c:extLst>
            </c:dLbl>
            <c:dLbl>
              <c:idx val="2"/>
              <c:delete val="1"/>
              <c:extLst>
                <c:ext xmlns:c15="http://schemas.microsoft.com/office/drawing/2012/chart" uri="{CE6537A1-D6FC-4f65-9D91-7224C49458BB}"/>
                <c:ext xmlns:c16="http://schemas.microsoft.com/office/drawing/2014/chart" uri="{C3380CC4-5D6E-409C-BE32-E72D297353CC}">
                  <c16:uniqueId val="{0000002E-DE82-4BF9-9118-A32BDB31467D}"/>
                </c:ext>
              </c:extLst>
            </c:dLbl>
            <c:dLbl>
              <c:idx val="3"/>
              <c:layout>
                <c:manualLayout>
                  <c:x val="3.511530264551603E-3"/>
                  <c:y val="-2.824582053892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E82-4BF9-9118-A32BDB31467D}"/>
                </c:ext>
              </c:extLst>
            </c:dLbl>
            <c:dLbl>
              <c:idx val="4"/>
              <c:delete val="1"/>
              <c:extLst>
                <c:ext xmlns:c15="http://schemas.microsoft.com/office/drawing/2012/chart" uri="{CE6537A1-D6FC-4f65-9D91-7224C49458BB}"/>
                <c:ext xmlns:c16="http://schemas.microsoft.com/office/drawing/2014/chart" uri="{C3380CC4-5D6E-409C-BE32-E72D297353CC}">
                  <c16:uniqueId val="{00000030-DE82-4BF9-9118-A32BDB31467D}"/>
                </c:ext>
              </c:extLst>
            </c:dLbl>
            <c:dLbl>
              <c:idx val="5"/>
              <c:delete val="1"/>
              <c:extLst>
                <c:ext xmlns:c15="http://schemas.microsoft.com/office/drawing/2012/chart" uri="{CE6537A1-D6FC-4f65-9D91-7224C49458BB}"/>
                <c:ext xmlns:c16="http://schemas.microsoft.com/office/drawing/2014/chart" uri="{C3380CC4-5D6E-409C-BE32-E72D297353CC}">
                  <c16:uniqueId val="{00000031-DE82-4BF9-9118-A32BDB31467D}"/>
                </c:ext>
              </c:extLst>
            </c:dLbl>
            <c:dLbl>
              <c:idx val="6"/>
              <c:delete val="1"/>
              <c:extLst>
                <c:ext xmlns:c15="http://schemas.microsoft.com/office/drawing/2012/chart" uri="{CE6537A1-D6FC-4f65-9D91-7224C49458BB}"/>
                <c:ext xmlns:c16="http://schemas.microsoft.com/office/drawing/2014/chart" uri="{C3380CC4-5D6E-409C-BE32-E72D297353CC}">
                  <c16:uniqueId val="{00000032-DE82-4BF9-9118-A32BDB31467D}"/>
                </c:ext>
              </c:extLst>
            </c:dLbl>
            <c:dLbl>
              <c:idx val="7"/>
              <c:delete val="1"/>
              <c:extLst>
                <c:ext xmlns:c15="http://schemas.microsoft.com/office/drawing/2012/chart" uri="{CE6537A1-D6FC-4f65-9D91-7224C49458BB}"/>
                <c:ext xmlns:c16="http://schemas.microsoft.com/office/drawing/2014/chart" uri="{C3380CC4-5D6E-409C-BE32-E72D297353CC}">
                  <c16:uniqueId val="{00000033-DE82-4BF9-9118-A32BDB31467D}"/>
                </c:ext>
              </c:extLst>
            </c:dLbl>
            <c:dLbl>
              <c:idx val="8"/>
              <c:layout>
                <c:manualLayout>
                  <c:x val="1.1962037970537267E-3"/>
                  <c:y val="-3.12866960965874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DE82-4BF9-9118-A32BDB31467D}"/>
                </c:ext>
              </c:extLst>
            </c:dLbl>
            <c:dLbl>
              <c:idx val="9"/>
              <c:delete val="1"/>
              <c:extLst>
                <c:ext xmlns:c15="http://schemas.microsoft.com/office/drawing/2012/chart" uri="{CE6537A1-D6FC-4f65-9D91-7224C49458BB}"/>
                <c:ext xmlns:c16="http://schemas.microsoft.com/office/drawing/2014/chart" uri="{C3380CC4-5D6E-409C-BE32-E72D297353CC}">
                  <c16:uniqueId val="{00000035-DE82-4BF9-9118-A32BDB31467D}"/>
                </c:ext>
              </c:extLst>
            </c:dLbl>
            <c:dLbl>
              <c:idx val="10"/>
              <c:delete val="1"/>
              <c:extLst>
                <c:ext xmlns:c15="http://schemas.microsoft.com/office/drawing/2012/chart" uri="{CE6537A1-D6FC-4f65-9D91-7224C49458BB}"/>
                <c:ext xmlns:c16="http://schemas.microsoft.com/office/drawing/2014/chart" uri="{C3380CC4-5D6E-409C-BE32-E72D297353CC}">
                  <c16:uniqueId val="{00000036-DE82-4BF9-9118-A32BDB31467D}"/>
                </c:ext>
              </c:extLst>
            </c:dLbl>
            <c:dLbl>
              <c:idx val="11"/>
              <c:delete val="1"/>
              <c:extLst>
                <c:ext xmlns:c15="http://schemas.microsoft.com/office/drawing/2012/chart" uri="{CE6537A1-D6FC-4f65-9D91-7224C49458BB}"/>
                <c:ext xmlns:c16="http://schemas.microsoft.com/office/drawing/2014/chart" uri="{C3380CC4-5D6E-409C-BE32-E72D297353CC}">
                  <c16:uniqueId val="{00000037-DE82-4BF9-9118-A32BDB31467D}"/>
                </c:ext>
              </c:extLst>
            </c:dLbl>
            <c:dLbl>
              <c:idx val="12"/>
              <c:layout>
                <c:manualLayout>
                  <c:x val="-1.0380428540435707E-2"/>
                  <c:y val="-3.0662941028072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DE82-4BF9-9118-A32BDB31467D}"/>
                </c:ext>
              </c:extLst>
            </c:dLbl>
            <c:dLbl>
              <c:idx val="13"/>
              <c:delete val="1"/>
              <c:extLst>
                <c:ext xmlns:c15="http://schemas.microsoft.com/office/drawing/2012/chart" uri="{CE6537A1-D6FC-4f65-9D91-7224C49458BB}"/>
                <c:ext xmlns:c16="http://schemas.microsoft.com/office/drawing/2014/chart" uri="{C3380CC4-5D6E-409C-BE32-E72D297353CC}">
                  <c16:uniqueId val="{00000039-DE82-4BF9-9118-A32BDB31467D}"/>
                </c:ext>
              </c:extLst>
            </c:dLbl>
            <c:dLbl>
              <c:idx val="14"/>
              <c:layout>
                <c:manualLayout>
                  <c:x val="-9.6858476158875693E-3"/>
                  <c:y val="-1.9824895822929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DE82-4BF9-9118-A32BDB31467D}"/>
                </c:ext>
              </c:extLst>
            </c:dLbl>
            <c:dLbl>
              <c:idx val="15"/>
              <c:delete val="1"/>
              <c:extLst>
                <c:ext xmlns:c15="http://schemas.microsoft.com/office/drawing/2012/chart" uri="{CE6537A1-D6FC-4f65-9D91-7224C49458BB}"/>
                <c:ext xmlns:c16="http://schemas.microsoft.com/office/drawing/2014/chart" uri="{C3380CC4-5D6E-409C-BE32-E72D297353CC}">
                  <c16:uniqueId val="{0000003B-DE82-4BF9-9118-A32BDB31467D}"/>
                </c:ext>
              </c:extLst>
            </c:dLbl>
            <c:dLbl>
              <c:idx val="16"/>
              <c:layout>
                <c:manualLayout>
                  <c:x val="-1.5474248863138423E-2"/>
                  <c:y val="-1.6159896821750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E82-4BF9-9118-A32BDB31467D}"/>
                </c:ext>
              </c:extLst>
            </c:dLbl>
            <c:dLbl>
              <c:idx val="17"/>
              <c:delete val="1"/>
              <c:extLst>
                <c:ext xmlns:c15="http://schemas.microsoft.com/office/drawing/2012/chart" uri="{CE6537A1-D6FC-4f65-9D91-7224C49458BB}"/>
                <c:ext xmlns:c16="http://schemas.microsoft.com/office/drawing/2014/chart" uri="{C3380CC4-5D6E-409C-BE32-E72D297353CC}">
                  <c16:uniqueId val="{0000003D-DE82-4BF9-9118-A32BDB31467D}"/>
                </c:ext>
              </c:extLst>
            </c:dLbl>
            <c:dLbl>
              <c:idx val="18"/>
              <c:delete val="1"/>
              <c:extLst>
                <c:ext xmlns:c15="http://schemas.microsoft.com/office/drawing/2012/chart" uri="{CE6537A1-D6FC-4f65-9D91-7224C49458BB}"/>
                <c:ext xmlns:c16="http://schemas.microsoft.com/office/drawing/2014/chart" uri="{C3380CC4-5D6E-409C-BE32-E72D297353CC}">
                  <c16:uniqueId val="{0000003E-DE82-4BF9-9118-A32BDB31467D}"/>
                </c:ext>
              </c:extLst>
            </c:dLbl>
            <c:dLbl>
              <c:idx val="19"/>
              <c:layout>
                <c:manualLayout>
                  <c:x val="-4.9278321571229806E-2"/>
                  <c:y val="8.869130867952816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DE82-4BF9-9118-A32BDB31467D}"/>
                </c:ext>
              </c:extLst>
            </c:dLbl>
            <c:dLbl>
              <c:idx val="20"/>
              <c:layout>
                <c:manualLayout>
                  <c:x val="-3.0902215018908663E-3"/>
                  <c:y val="8.869130867952816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DE82-4BF9-9118-A32BDB31467D}"/>
                </c:ext>
              </c:extLst>
            </c:dLbl>
            <c:dLbl>
              <c:idx val="21"/>
              <c:layout>
                <c:manualLayout>
                  <c:x val="-2.0823509118729419E-3"/>
                  <c:y val="4.57175813423018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DE82-4BF9-9118-A32BDB31467D}"/>
                </c:ext>
              </c:extLst>
            </c:dLbl>
            <c:dLbl>
              <c:idx val="22"/>
              <c:layout>
                <c:manualLayout>
                  <c:x val="0"/>
                  <c:y val="-1.82884725741313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DE82-4BF9-9118-A32BDB31467D}"/>
                </c:ext>
              </c:extLst>
            </c:dLbl>
            <c:spPr>
              <a:noFill/>
              <a:ln w="25400">
                <a:noFill/>
              </a:ln>
            </c:spPr>
            <c:txPr>
              <a:bodyPr/>
              <a:lstStyle/>
              <a:p>
                <a:pPr>
                  <a:defRPr sz="95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Strukturentwicklung!$P$120:$P$142</c:f>
              <c:numCache>
                <c:formatCode>General</c:formatCode>
                <c:ptCount val="23"/>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numCache>
            </c:numRef>
          </c:cat>
          <c:val>
            <c:numRef>
              <c:f>Strukturentwicklung!$S$120:$S$142</c:f>
              <c:numCache>
                <c:formatCode>General</c:formatCode>
                <c:ptCount val="23"/>
                <c:pt idx="0">
                  <c:v>70</c:v>
                </c:pt>
                <c:pt idx="1">
                  <c:v>70</c:v>
                </c:pt>
                <c:pt idx="2">
                  <c:v>68</c:v>
                </c:pt>
                <c:pt idx="3">
                  <c:v>67</c:v>
                </c:pt>
                <c:pt idx="4">
                  <c:v>66</c:v>
                </c:pt>
                <c:pt idx="5">
                  <c:v>66</c:v>
                </c:pt>
                <c:pt idx="6">
                  <c:v>67</c:v>
                </c:pt>
                <c:pt idx="7">
                  <c:v>61</c:v>
                </c:pt>
                <c:pt idx="8">
                  <c:v>64</c:v>
                </c:pt>
                <c:pt idx="9">
                  <c:v>63</c:v>
                </c:pt>
                <c:pt idx="10">
                  <c:v>63</c:v>
                </c:pt>
                <c:pt idx="11">
                  <c:v>63</c:v>
                </c:pt>
                <c:pt idx="12">
                  <c:v>61</c:v>
                </c:pt>
                <c:pt idx="13">
                  <c:v>60</c:v>
                </c:pt>
                <c:pt idx="14">
                  <c:v>60</c:v>
                </c:pt>
                <c:pt idx="15">
                  <c:v>59</c:v>
                </c:pt>
                <c:pt idx="16">
                  <c:v>63</c:v>
                </c:pt>
                <c:pt idx="17">
                  <c:v>57</c:v>
                </c:pt>
                <c:pt idx="18">
                  <c:v>57</c:v>
                </c:pt>
                <c:pt idx="19">
                  <c:v>59</c:v>
                </c:pt>
                <c:pt idx="20">
                  <c:v>56</c:v>
                </c:pt>
                <c:pt idx="21">
                  <c:v>59</c:v>
                </c:pt>
                <c:pt idx="22">
                  <c:v>60</c:v>
                </c:pt>
              </c:numCache>
            </c:numRef>
          </c:val>
          <c:smooth val="0"/>
          <c:extLst>
            <c:ext xmlns:c16="http://schemas.microsoft.com/office/drawing/2014/chart" uri="{C3380CC4-5D6E-409C-BE32-E72D297353CC}">
              <c16:uniqueId val="{00000043-DE82-4BF9-9118-A32BDB31467D}"/>
            </c:ext>
          </c:extLst>
        </c:ser>
        <c:dLbls>
          <c:showLegendKey val="0"/>
          <c:showVal val="0"/>
          <c:showCatName val="0"/>
          <c:showSerName val="0"/>
          <c:showPercent val="0"/>
          <c:showBubbleSize val="0"/>
        </c:dLbls>
        <c:marker val="1"/>
        <c:smooth val="0"/>
        <c:axId val="169518208"/>
        <c:axId val="169519744"/>
      </c:lineChart>
      <c:catAx>
        <c:axId val="169518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75" b="1" i="0" u="none" strike="noStrike" baseline="0">
                <a:solidFill>
                  <a:srgbClr val="000000"/>
                </a:solidFill>
                <a:latin typeface="Arial"/>
                <a:ea typeface="Arial"/>
                <a:cs typeface="Arial"/>
              </a:defRPr>
            </a:pPr>
            <a:endParaRPr lang="de-DE"/>
          </a:p>
        </c:txPr>
        <c:crossAx val="169519744"/>
        <c:crosses val="autoZero"/>
        <c:auto val="1"/>
        <c:lblAlgn val="ctr"/>
        <c:lblOffset val="100"/>
        <c:tickLblSkip val="1"/>
        <c:tickMarkSkip val="1"/>
        <c:noMultiLvlLbl val="0"/>
      </c:catAx>
      <c:valAx>
        <c:axId val="169519744"/>
        <c:scaling>
          <c:orientation val="minMax"/>
          <c:min val="4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de-DE"/>
          </a:p>
        </c:txPr>
        <c:crossAx val="169518208"/>
        <c:crosses val="autoZero"/>
        <c:crossBetween val="between"/>
      </c:valAx>
      <c:spPr>
        <a:solidFill>
          <a:srgbClr val="FFFFFF"/>
        </a:solidFill>
        <a:ln w="12700">
          <a:solidFill>
            <a:srgbClr val="808080"/>
          </a:solidFill>
          <a:prstDash val="solid"/>
        </a:ln>
      </c:spPr>
    </c:plotArea>
    <c:legend>
      <c:legendPos val="r"/>
      <c:layout>
        <c:manualLayout>
          <c:xMode val="edge"/>
          <c:yMode val="edge"/>
          <c:x val="0.75884015349713618"/>
          <c:y val="2.0272843850285091E-2"/>
          <c:w val="0.18528999253704703"/>
          <c:h val="0.18633577491642384"/>
        </c:manualLayout>
      </c:layout>
      <c:overlay val="0"/>
      <c:spPr>
        <a:solidFill>
          <a:srgbClr val="FFFFFF"/>
        </a:solidFill>
        <a:ln w="3175">
          <a:solidFill>
            <a:srgbClr val="000000"/>
          </a:solidFill>
          <a:prstDash val="solid"/>
        </a:ln>
      </c:spPr>
      <c:txPr>
        <a:bodyPr/>
        <a:lstStyle/>
        <a:p>
          <a:pPr>
            <a:defRPr sz="59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8100">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50" b="1" i="0" u="none" strike="noStrike" baseline="0">
                <a:solidFill>
                  <a:srgbClr val="000000"/>
                </a:solidFill>
                <a:latin typeface="Arial"/>
                <a:ea typeface="Arial"/>
                <a:cs typeface="Arial"/>
              </a:defRPr>
            </a:pPr>
            <a:r>
              <a:rPr lang="de-DE"/>
              <a:t>Milchleistungssteigerung seit 1985</a:t>
            </a:r>
          </a:p>
        </c:rich>
      </c:tx>
      <c:layout>
        <c:manualLayout>
          <c:xMode val="edge"/>
          <c:yMode val="edge"/>
          <c:x val="0.23432383477329535"/>
          <c:y val="4.1666666666666664E-2"/>
        </c:manualLayout>
      </c:layout>
      <c:overlay val="0"/>
      <c:spPr>
        <a:noFill/>
        <a:ln w="25400">
          <a:noFill/>
        </a:ln>
      </c:spPr>
    </c:title>
    <c:autoTitleDeleted val="0"/>
    <c:plotArea>
      <c:layout>
        <c:manualLayout>
          <c:layoutTarget val="inner"/>
          <c:xMode val="edge"/>
          <c:yMode val="edge"/>
          <c:x val="6.9307042380624712E-2"/>
          <c:y val="0.25378881757819"/>
          <c:w val="0.89604104792093375"/>
          <c:h val="0.6287902047459633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FF0000"/>
                </a:solidFill>
                <a:prstDash val="solid"/>
              </a:ln>
            </c:spPr>
            <c:trendlineType val="linear"/>
            <c:dispRSqr val="1"/>
            <c:dispEq val="1"/>
            <c:trendlineLbl>
              <c:layout>
                <c:manualLayout>
                  <c:x val="-0.51269279701322901"/>
                  <c:y val="9.7059167044039968E-2"/>
                </c:manualLayout>
              </c:layout>
              <c:numFmt formatCode="General" sourceLinked="0"/>
              <c:spPr>
                <a:noFill/>
                <a:ln w="25400">
                  <a:noFill/>
                </a:ln>
              </c:spPr>
              <c:txPr>
                <a:bodyPr/>
                <a:lstStyle/>
                <a:p>
                  <a:pPr>
                    <a:defRPr sz="800" b="0" i="0" u="none" strike="noStrike" baseline="0">
                      <a:solidFill>
                        <a:srgbClr val="FF0000"/>
                      </a:solidFill>
                      <a:latin typeface="Arial"/>
                      <a:ea typeface="Arial"/>
                      <a:cs typeface="Arial"/>
                    </a:defRPr>
                  </a:pPr>
                  <a:endParaRPr lang="de-DE"/>
                </a:p>
              </c:txPr>
            </c:trendlineLbl>
          </c:trendline>
          <c:cat>
            <c:numRef>
              <c:f>Strukturentwicklung!$N$16:$N$45</c:f>
              <c:numCache>
                <c:formatCode>00</c:formatCode>
                <c:ptCount val="30"/>
                <c:pt idx="0">
                  <c:v>85</c:v>
                </c:pt>
                <c:pt idx="1">
                  <c:v>86</c:v>
                </c:pt>
                <c:pt idx="2">
                  <c:v>87</c:v>
                </c:pt>
                <c:pt idx="3">
                  <c:v>88</c:v>
                </c:pt>
                <c:pt idx="4">
                  <c:v>89</c:v>
                </c:pt>
                <c:pt idx="5">
                  <c:v>90</c:v>
                </c:pt>
                <c:pt idx="6">
                  <c:v>91</c:v>
                </c:pt>
                <c:pt idx="7">
                  <c:v>92</c:v>
                </c:pt>
                <c:pt idx="8">
                  <c:v>93</c:v>
                </c:pt>
                <c:pt idx="9">
                  <c:v>94</c:v>
                </c:pt>
                <c:pt idx="10">
                  <c:v>95</c:v>
                </c:pt>
                <c:pt idx="11">
                  <c:v>96</c:v>
                </c:pt>
                <c:pt idx="12">
                  <c:v>97</c:v>
                </c:pt>
                <c:pt idx="13">
                  <c:v>98</c:v>
                </c:pt>
                <c:pt idx="14">
                  <c:v>99</c:v>
                </c:pt>
                <c:pt idx="15">
                  <c:v>0</c:v>
                </c:pt>
                <c:pt idx="16">
                  <c:v>1</c:v>
                </c:pt>
                <c:pt idx="17">
                  <c:v>2</c:v>
                </c:pt>
                <c:pt idx="18">
                  <c:v>3</c:v>
                </c:pt>
                <c:pt idx="19">
                  <c:v>4</c:v>
                </c:pt>
                <c:pt idx="20">
                  <c:v>5</c:v>
                </c:pt>
                <c:pt idx="21">
                  <c:v>6</c:v>
                </c:pt>
                <c:pt idx="22">
                  <c:v>7</c:v>
                </c:pt>
                <c:pt idx="23">
                  <c:v>8</c:v>
                </c:pt>
                <c:pt idx="24">
                  <c:v>9</c:v>
                </c:pt>
                <c:pt idx="25">
                  <c:v>10</c:v>
                </c:pt>
                <c:pt idx="26">
                  <c:v>11</c:v>
                </c:pt>
                <c:pt idx="27">
                  <c:v>12</c:v>
                </c:pt>
                <c:pt idx="28">
                  <c:v>13</c:v>
                </c:pt>
                <c:pt idx="29">
                  <c:v>14</c:v>
                </c:pt>
              </c:numCache>
            </c:numRef>
          </c:cat>
          <c:val>
            <c:numRef>
              <c:f>Strukturentwicklung!$P$16:$P$45</c:f>
              <c:numCache>
                <c:formatCode>#\ ###\ ##0</c:formatCode>
                <c:ptCount val="30"/>
                <c:pt idx="0">
                  <c:v>4101.4568993844978</c:v>
                </c:pt>
                <c:pt idx="1">
                  <c:v>4280.4607218909869</c:v>
                </c:pt>
                <c:pt idx="2">
                  <c:v>4030.852292878355</c:v>
                </c:pt>
                <c:pt idx="3">
                  <c:v>4085.8979851524086</c:v>
                </c:pt>
                <c:pt idx="4">
                  <c:v>4244.423137132123</c:v>
                </c:pt>
                <c:pt idx="5">
                  <c:v>4207.2893622058136</c:v>
                </c:pt>
                <c:pt idx="6">
                  <c:v>4285.2593598394214</c:v>
                </c:pt>
                <c:pt idx="7">
                  <c:v>4388.1853276164375</c:v>
                </c:pt>
                <c:pt idx="8">
                  <c:v>4620.0691036956532</c:v>
                </c:pt>
                <c:pt idx="9">
                  <c:v>4731.7292931989587</c:v>
                </c:pt>
                <c:pt idx="10">
                  <c:v>4843.2063785578657</c:v>
                </c:pt>
                <c:pt idx="11">
                  <c:v>4926.0165749514008</c:v>
                </c:pt>
                <c:pt idx="12">
                  <c:v>5062.9466013750562</c:v>
                </c:pt>
                <c:pt idx="13">
                  <c:v>4976</c:v>
                </c:pt>
                <c:pt idx="14">
                  <c:v>5077</c:v>
                </c:pt>
                <c:pt idx="15">
                  <c:v>5267</c:v>
                </c:pt>
                <c:pt idx="16">
                  <c:v>5408</c:v>
                </c:pt>
                <c:pt idx="17">
                  <c:v>5518</c:v>
                </c:pt>
                <c:pt idx="18">
                  <c:v>5783</c:v>
                </c:pt>
                <c:pt idx="19">
                  <c:v>5809</c:v>
                </c:pt>
                <c:pt idx="20">
                  <c:v>5867</c:v>
                </c:pt>
                <c:pt idx="21">
                  <c:v>5892</c:v>
                </c:pt>
                <c:pt idx="22">
                  <c:v>6089</c:v>
                </c:pt>
                <c:pt idx="23">
                  <c:v>6082</c:v>
                </c:pt>
                <c:pt idx="24">
                  <c:v>6198</c:v>
                </c:pt>
                <c:pt idx="25">
                  <c:v>6309</c:v>
                </c:pt>
                <c:pt idx="26">
                  <c:v>6579</c:v>
                </c:pt>
                <c:pt idx="27">
                  <c:v>6702</c:v>
                </c:pt>
                <c:pt idx="28">
                  <c:v>6749</c:v>
                </c:pt>
                <c:pt idx="29">
                  <c:v>6750</c:v>
                </c:pt>
              </c:numCache>
            </c:numRef>
          </c:val>
          <c:smooth val="0"/>
          <c:extLst>
            <c:ext xmlns:c16="http://schemas.microsoft.com/office/drawing/2014/chart" uri="{C3380CC4-5D6E-409C-BE32-E72D297353CC}">
              <c16:uniqueId val="{00000000-D537-49C6-8950-71CC9E4D1905}"/>
            </c:ext>
          </c:extLst>
        </c:ser>
        <c:dLbls>
          <c:showLegendKey val="0"/>
          <c:showVal val="0"/>
          <c:showCatName val="0"/>
          <c:showSerName val="0"/>
          <c:showPercent val="0"/>
          <c:showBubbleSize val="0"/>
        </c:dLbls>
        <c:marker val="1"/>
        <c:smooth val="0"/>
        <c:axId val="174396928"/>
        <c:axId val="174398464"/>
      </c:lineChart>
      <c:catAx>
        <c:axId val="174396928"/>
        <c:scaling>
          <c:orientation val="minMax"/>
        </c:scaling>
        <c:delete val="0"/>
        <c:axPos val="b"/>
        <c:numFmt formatCode="00" sourceLinked="1"/>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de-DE"/>
          </a:p>
        </c:txPr>
        <c:crossAx val="174398464"/>
        <c:crosses val="autoZero"/>
        <c:auto val="1"/>
        <c:lblAlgn val="ctr"/>
        <c:lblOffset val="100"/>
        <c:tickLblSkip val="1"/>
        <c:tickMarkSkip val="1"/>
        <c:noMultiLvlLbl val="0"/>
      </c:catAx>
      <c:valAx>
        <c:axId val="174398464"/>
        <c:scaling>
          <c:orientation val="minMax"/>
          <c:max val="7000"/>
          <c:min val="3500"/>
        </c:scaling>
        <c:delete val="0"/>
        <c:axPos val="l"/>
        <c:majorGridlines>
          <c:spPr>
            <a:ln w="3175">
              <a:solidFill>
                <a:srgbClr val="000000"/>
              </a:solidFill>
              <a:prstDash val="solid"/>
            </a:ln>
          </c:spPr>
        </c:majorGridlines>
        <c:title>
          <c:tx>
            <c:rich>
              <a:bodyPr rot="60000" vert="horz"/>
              <a:lstStyle/>
              <a:p>
                <a:pPr algn="ctr">
                  <a:defRPr sz="1125" b="1" i="0" u="none" strike="noStrike" baseline="0">
                    <a:solidFill>
                      <a:srgbClr val="000000"/>
                    </a:solidFill>
                    <a:latin typeface="Arial"/>
                    <a:ea typeface="Arial"/>
                    <a:cs typeface="Arial"/>
                  </a:defRPr>
                </a:pPr>
                <a:r>
                  <a:rPr lang="de-DE"/>
                  <a:t>kg/Kuh</a:t>
                </a:r>
              </a:p>
            </c:rich>
          </c:tx>
          <c:layout>
            <c:manualLayout>
              <c:xMode val="edge"/>
              <c:yMode val="edge"/>
              <c:x val="2.4752402479349334E-2"/>
              <c:y val="7.1970125652705608E-2"/>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de-DE"/>
          </a:p>
        </c:txPr>
        <c:crossAx val="174396928"/>
        <c:crosses val="autoZero"/>
        <c:crossBetween val="between"/>
      </c:valAx>
      <c:spPr>
        <a:solidFill>
          <a:srgbClr val="E3E3E3"/>
        </a:solidFill>
        <a:ln w="12700">
          <a:solidFill>
            <a:srgbClr val="808080"/>
          </a:solidFill>
          <a:prstDash val="solid"/>
        </a:ln>
      </c:spPr>
    </c:plotArea>
    <c:legend>
      <c:legendPos val="r"/>
      <c:layout>
        <c:manualLayout>
          <c:xMode val="edge"/>
          <c:yMode val="edge"/>
          <c:x val="0.23775241651037662"/>
          <c:y val="0.2023821775143356"/>
          <c:w val="0.20172942433367655"/>
          <c:h val="0.16326599580633699"/>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a:t>Milchkuhbestand u. Milchleistung 1979 bis 2014    BW
</a:t>
            </a:r>
          </a:p>
        </c:rich>
      </c:tx>
      <c:layout>
        <c:manualLayout>
          <c:xMode val="edge"/>
          <c:yMode val="edge"/>
          <c:x val="0.14406781547454034"/>
          <c:y val="1.7730443949053095E-2"/>
        </c:manualLayout>
      </c:layout>
      <c:overlay val="0"/>
      <c:spPr>
        <a:noFill/>
        <a:ln w="25400">
          <a:noFill/>
        </a:ln>
      </c:spPr>
    </c:title>
    <c:autoTitleDeleted val="0"/>
    <c:plotArea>
      <c:layout>
        <c:manualLayout>
          <c:layoutTarget val="inner"/>
          <c:xMode val="edge"/>
          <c:yMode val="edge"/>
          <c:x val="7.6271186440677971E-2"/>
          <c:y val="0.25532003310627599"/>
          <c:w val="0.83728813559322035"/>
          <c:h val="0.58510840920188245"/>
        </c:manualLayout>
      </c:layout>
      <c:areaChart>
        <c:grouping val="standard"/>
        <c:varyColors val="0"/>
        <c:ser>
          <c:idx val="0"/>
          <c:order val="0"/>
          <c:tx>
            <c:v>Anzahl Milchkühe</c:v>
          </c:tx>
          <c:spPr>
            <a:solidFill>
              <a:srgbClr val="8080FF"/>
            </a:solidFill>
            <a:ln w="12700">
              <a:solidFill>
                <a:srgbClr val="000000"/>
              </a:solidFill>
              <a:prstDash val="solid"/>
            </a:ln>
          </c:spPr>
          <c:cat>
            <c:numRef>
              <c:f>Strukturentwicklung!$N$9:$N$45</c:f>
              <c:numCache>
                <c:formatCode>00</c:formatCode>
                <c:ptCount val="37"/>
                <c:pt idx="0">
                  <c:v>78</c:v>
                </c:pt>
                <c:pt idx="1">
                  <c:v>79</c:v>
                </c:pt>
                <c:pt idx="2">
                  <c:v>80</c:v>
                </c:pt>
                <c:pt idx="3">
                  <c:v>81</c:v>
                </c:pt>
                <c:pt idx="4">
                  <c:v>82</c:v>
                </c:pt>
                <c:pt idx="5">
                  <c:v>83</c:v>
                </c:pt>
                <c:pt idx="6">
                  <c:v>84</c:v>
                </c:pt>
                <c:pt idx="7">
                  <c:v>85</c:v>
                </c:pt>
                <c:pt idx="8">
                  <c:v>86</c:v>
                </c:pt>
                <c:pt idx="9">
                  <c:v>87</c:v>
                </c:pt>
                <c:pt idx="10">
                  <c:v>88</c:v>
                </c:pt>
                <c:pt idx="11">
                  <c:v>89</c:v>
                </c:pt>
                <c:pt idx="12">
                  <c:v>90</c:v>
                </c:pt>
                <c:pt idx="13">
                  <c:v>91</c:v>
                </c:pt>
                <c:pt idx="14">
                  <c:v>92</c:v>
                </c:pt>
                <c:pt idx="15">
                  <c:v>93</c:v>
                </c:pt>
                <c:pt idx="16">
                  <c:v>94</c:v>
                </c:pt>
                <c:pt idx="17">
                  <c:v>95</c:v>
                </c:pt>
                <c:pt idx="18">
                  <c:v>96</c:v>
                </c:pt>
                <c:pt idx="19">
                  <c:v>97</c:v>
                </c:pt>
                <c:pt idx="20">
                  <c:v>98</c:v>
                </c:pt>
                <c:pt idx="21">
                  <c:v>99</c:v>
                </c:pt>
                <c:pt idx="22">
                  <c:v>0</c:v>
                </c:pt>
                <c:pt idx="23">
                  <c:v>1</c:v>
                </c:pt>
                <c:pt idx="24">
                  <c:v>2</c:v>
                </c:pt>
                <c:pt idx="25">
                  <c:v>3</c:v>
                </c:pt>
                <c:pt idx="26">
                  <c:v>4</c:v>
                </c:pt>
                <c:pt idx="27">
                  <c:v>5</c:v>
                </c:pt>
                <c:pt idx="28">
                  <c:v>6</c:v>
                </c:pt>
                <c:pt idx="29">
                  <c:v>7</c:v>
                </c:pt>
                <c:pt idx="30">
                  <c:v>8</c:v>
                </c:pt>
                <c:pt idx="31">
                  <c:v>9</c:v>
                </c:pt>
                <c:pt idx="32">
                  <c:v>10</c:v>
                </c:pt>
                <c:pt idx="33">
                  <c:v>11</c:v>
                </c:pt>
                <c:pt idx="34">
                  <c:v>12</c:v>
                </c:pt>
                <c:pt idx="35">
                  <c:v>13</c:v>
                </c:pt>
                <c:pt idx="36">
                  <c:v>14</c:v>
                </c:pt>
              </c:numCache>
            </c:numRef>
          </c:cat>
          <c:val>
            <c:numRef>
              <c:f>Strukturentwicklung!$O$9:$O$45</c:f>
              <c:numCache>
                <c:formatCode>#\ ###\ ##0</c:formatCode>
                <c:ptCount val="37"/>
                <c:pt idx="0">
                  <c:v>695.37300000000005</c:v>
                </c:pt>
                <c:pt idx="1">
                  <c:v>695.01099999999997</c:v>
                </c:pt>
                <c:pt idx="2">
                  <c:v>692.21900000000005</c:v>
                </c:pt>
                <c:pt idx="3">
                  <c:v>688.78899999999999</c:v>
                </c:pt>
                <c:pt idx="4">
                  <c:v>678.87</c:v>
                </c:pt>
                <c:pt idx="5">
                  <c:v>682.97299999999996</c:v>
                </c:pt>
                <c:pt idx="6">
                  <c:v>685.755</c:v>
                </c:pt>
                <c:pt idx="7">
                  <c:v>678.63300000000004</c:v>
                </c:pt>
                <c:pt idx="8">
                  <c:v>656.96900000000005</c:v>
                </c:pt>
                <c:pt idx="9">
                  <c:v>656.96900000000005</c:v>
                </c:pt>
                <c:pt idx="10">
                  <c:v>625.55600000000004</c:v>
                </c:pt>
                <c:pt idx="11">
                  <c:v>613.24800000000005</c:v>
                </c:pt>
                <c:pt idx="12">
                  <c:v>599.83299999999997</c:v>
                </c:pt>
                <c:pt idx="13">
                  <c:v>575.91800000000001</c:v>
                </c:pt>
                <c:pt idx="14">
                  <c:v>542.952</c:v>
                </c:pt>
                <c:pt idx="15">
                  <c:v>523.56100000000004</c:v>
                </c:pt>
                <c:pt idx="16">
                  <c:v>509.42200000000003</c:v>
                </c:pt>
                <c:pt idx="17">
                  <c:v>502.935</c:v>
                </c:pt>
                <c:pt idx="18">
                  <c:v>498.46300000000002</c:v>
                </c:pt>
                <c:pt idx="19">
                  <c:v>488.27100000000002</c:v>
                </c:pt>
                <c:pt idx="20">
                  <c:v>462.66699999999997</c:v>
                </c:pt>
                <c:pt idx="21">
                  <c:v>443.70400000000001</c:v>
                </c:pt>
                <c:pt idx="22">
                  <c:v>432.28899999999999</c:v>
                </c:pt>
                <c:pt idx="23">
                  <c:v>422</c:v>
                </c:pt>
                <c:pt idx="24">
                  <c:v>411</c:v>
                </c:pt>
                <c:pt idx="25">
                  <c:v>396</c:v>
                </c:pt>
                <c:pt idx="26">
                  <c:v>385</c:v>
                </c:pt>
                <c:pt idx="27">
                  <c:v>381</c:v>
                </c:pt>
                <c:pt idx="28">
                  <c:v>369</c:v>
                </c:pt>
                <c:pt idx="29">
                  <c:v>363</c:v>
                </c:pt>
                <c:pt idx="30">
                  <c:v>361</c:v>
                </c:pt>
                <c:pt idx="31">
                  <c:v>358</c:v>
                </c:pt>
                <c:pt idx="32">
                  <c:v>354</c:v>
                </c:pt>
                <c:pt idx="33">
                  <c:v>347</c:v>
                </c:pt>
                <c:pt idx="34">
                  <c:v>340</c:v>
                </c:pt>
                <c:pt idx="35">
                  <c:v>342</c:v>
                </c:pt>
                <c:pt idx="36">
                  <c:v>349</c:v>
                </c:pt>
              </c:numCache>
            </c:numRef>
          </c:val>
          <c:extLst>
            <c:ext xmlns:c16="http://schemas.microsoft.com/office/drawing/2014/chart" uri="{C3380CC4-5D6E-409C-BE32-E72D297353CC}">
              <c16:uniqueId val="{00000000-023D-4738-9517-C1A39A903CC7}"/>
            </c:ext>
          </c:extLst>
        </c:ser>
        <c:dLbls>
          <c:showLegendKey val="0"/>
          <c:showVal val="0"/>
          <c:showCatName val="0"/>
          <c:showSerName val="0"/>
          <c:showPercent val="0"/>
          <c:showBubbleSize val="0"/>
        </c:dLbls>
        <c:axId val="174441984"/>
        <c:axId val="174443520"/>
      </c:areaChart>
      <c:lineChart>
        <c:grouping val="standard"/>
        <c:varyColors val="0"/>
        <c:ser>
          <c:idx val="1"/>
          <c:order val="1"/>
          <c:tx>
            <c:v>Milchleistung</c:v>
          </c:tx>
          <c:spPr>
            <a:ln w="38100">
              <a:solidFill>
                <a:srgbClr val="FF00FF"/>
              </a:solidFill>
              <a:prstDash val="sysDash"/>
            </a:ln>
          </c:spPr>
          <c:marker>
            <c:symbol val="none"/>
          </c:marker>
          <c:val>
            <c:numRef>
              <c:f>Strukturentwicklung!$P$9:$P$45</c:f>
              <c:numCache>
                <c:formatCode>#\ ###\ ##0</c:formatCode>
                <c:ptCount val="37"/>
                <c:pt idx="0">
                  <c:v>3837.9502799217112</c:v>
                </c:pt>
                <c:pt idx="1">
                  <c:v>3907.319452497874</c:v>
                </c:pt>
                <c:pt idx="2">
                  <c:v>4041.075151072132</c:v>
                </c:pt>
                <c:pt idx="3">
                  <c:v>3998.9895309013355</c:v>
                </c:pt>
                <c:pt idx="4">
                  <c:v>4074.8140291955747</c:v>
                </c:pt>
                <c:pt idx="5">
                  <c:v>4230.5083802727195</c:v>
                </c:pt>
                <c:pt idx="6">
                  <c:v>4120.123076025694</c:v>
                </c:pt>
                <c:pt idx="7">
                  <c:v>4101.4568993844978</c:v>
                </c:pt>
                <c:pt idx="8">
                  <c:v>4280.4607218909869</c:v>
                </c:pt>
                <c:pt idx="9">
                  <c:v>4030.852292878355</c:v>
                </c:pt>
                <c:pt idx="10">
                  <c:v>4085.8979851524086</c:v>
                </c:pt>
                <c:pt idx="11">
                  <c:v>4244.423137132123</c:v>
                </c:pt>
                <c:pt idx="12">
                  <c:v>4207.2893622058136</c:v>
                </c:pt>
                <c:pt idx="13">
                  <c:v>4285.2593598394214</c:v>
                </c:pt>
                <c:pt idx="14">
                  <c:v>4388.1853276164375</c:v>
                </c:pt>
                <c:pt idx="15">
                  <c:v>4620.0691036956532</c:v>
                </c:pt>
                <c:pt idx="16">
                  <c:v>4731.7292931989587</c:v>
                </c:pt>
                <c:pt idx="17">
                  <c:v>4843.2063785578657</c:v>
                </c:pt>
                <c:pt idx="18">
                  <c:v>4926.0165749514008</c:v>
                </c:pt>
                <c:pt idx="19">
                  <c:v>5062.9466013750562</c:v>
                </c:pt>
                <c:pt idx="20">
                  <c:v>4976</c:v>
                </c:pt>
                <c:pt idx="21">
                  <c:v>5077</c:v>
                </c:pt>
                <c:pt idx="22">
                  <c:v>5267</c:v>
                </c:pt>
                <c:pt idx="23">
                  <c:v>5408</c:v>
                </c:pt>
                <c:pt idx="24">
                  <c:v>5518</c:v>
                </c:pt>
                <c:pt idx="25">
                  <c:v>5783</c:v>
                </c:pt>
                <c:pt idx="26">
                  <c:v>5809</c:v>
                </c:pt>
                <c:pt idx="27">
                  <c:v>5867</c:v>
                </c:pt>
                <c:pt idx="28">
                  <c:v>5892</c:v>
                </c:pt>
                <c:pt idx="29">
                  <c:v>6089</c:v>
                </c:pt>
                <c:pt idx="30">
                  <c:v>6082</c:v>
                </c:pt>
                <c:pt idx="31">
                  <c:v>6198</c:v>
                </c:pt>
                <c:pt idx="32">
                  <c:v>6309</c:v>
                </c:pt>
                <c:pt idx="33">
                  <c:v>6579</c:v>
                </c:pt>
                <c:pt idx="34">
                  <c:v>6702</c:v>
                </c:pt>
                <c:pt idx="35">
                  <c:v>6749</c:v>
                </c:pt>
                <c:pt idx="36">
                  <c:v>6750</c:v>
                </c:pt>
              </c:numCache>
            </c:numRef>
          </c:val>
          <c:smooth val="0"/>
          <c:extLst>
            <c:ext xmlns:c16="http://schemas.microsoft.com/office/drawing/2014/chart" uri="{C3380CC4-5D6E-409C-BE32-E72D297353CC}">
              <c16:uniqueId val="{00000001-023D-4738-9517-C1A39A903CC7}"/>
            </c:ext>
          </c:extLst>
        </c:ser>
        <c:dLbls>
          <c:showLegendKey val="0"/>
          <c:showVal val="0"/>
          <c:showCatName val="0"/>
          <c:showSerName val="0"/>
          <c:showPercent val="0"/>
          <c:showBubbleSize val="0"/>
        </c:dLbls>
        <c:marker val="1"/>
        <c:smooth val="0"/>
        <c:axId val="174449792"/>
        <c:axId val="174451328"/>
      </c:lineChart>
      <c:catAx>
        <c:axId val="174441984"/>
        <c:scaling>
          <c:orientation val="minMax"/>
        </c:scaling>
        <c:delete val="0"/>
        <c:axPos val="b"/>
        <c:numFmt formatCode="00"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de-DE"/>
          </a:p>
        </c:txPr>
        <c:crossAx val="174443520"/>
        <c:crosses val="autoZero"/>
        <c:auto val="1"/>
        <c:lblAlgn val="ctr"/>
        <c:lblOffset val="100"/>
        <c:tickLblSkip val="2"/>
        <c:tickMarkSkip val="1"/>
        <c:noMultiLvlLbl val="0"/>
      </c:catAx>
      <c:valAx>
        <c:axId val="174443520"/>
        <c:scaling>
          <c:orientation val="minMax"/>
          <c:min val="50"/>
        </c:scaling>
        <c:delete val="0"/>
        <c:axPos val="l"/>
        <c:majorGridlines>
          <c:spPr>
            <a:ln w="3175">
              <a:solidFill>
                <a:srgbClr val="000000"/>
              </a:solidFill>
              <a:prstDash val="sysDash"/>
            </a:ln>
          </c:spPr>
        </c:majorGridlines>
        <c:title>
          <c:tx>
            <c:rich>
              <a:bodyPr rot="0" vert="horz"/>
              <a:lstStyle/>
              <a:p>
                <a:pPr algn="ctr">
                  <a:defRPr sz="1025" b="1" i="0" u="none" strike="noStrike" baseline="0">
                    <a:solidFill>
                      <a:srgbClr val="000000"/>
                    </a:solidFill>
                    <a:latin typeface="Arial"/>
                    <a:ea typeface="Arial"/>
                    <a:cs typeface="Arial"/>
                  </a:defRPr>
                </a:pPr>
                <a:r>
                  <a:rPr lang="de-DE"/>
                  <a:t>Tsd. Milchkühe
</a:t>
                </a:r>
              </a:p>
            </c:rich>
          </c:tx>
          <c:layout>
            <c:manualLayout>
              <c:xMode val="edge"/>
              <c:yMode val="edge"/>
              <c:x val="1.3559396330497357E-2"/>
              <c:y val="0.13120607971097972"/>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74441984"/>
        <c:crosses val="autoZero"/>
        <c:crossBetween val="midCat"/>
        <c:majorUnit val="100"/>
      </c:valAx>
      <c:catAx>
        <c:axId val="174449792"/>
        <c:scaling>
          <c:orientation val="minMax"/>
        </c:scaling>
        <c:delete val="1"/>
        <c:axPos val="b"/>
        <c:majorTickMark val="out"/>
        <c:minorTickMark val="none"/>
        <c:tickLblPos val="nextTo"/>
        <c:crossAx val="174451328"/>
        <c:crosses val="autoZero"/>
        <c:auto val="1"/>
        <c:lblAlgn val="ctr"/>
        <c:lblOffset val="100"/>
        <c:noMultiLvlLbl val="0"/>
      </c:catAx>
      <c:valAx>
        <c:axId val="174451328"/>
        <c:scaling>
          <c:orientation val="minMax"/>
          <c:min val="2000"/>
        </c:scaling>
        <c:delete val="0"/>
        <c:axPos val="r"/>
        <c:title>
          <c:tx>
            <c:rich>
              <a:bodyPr rot="0" vert="horz"/>
              <a:lstStyle/>
              <a:p>
                <a:pPr algn="ctr">
                  <a:defRPr sz="1025" b="1" i="0" u="none" strike="noStrike" baseline="0">
                    <a:solidFill>
                      <a:srgbClr val="000000"/>
                    </a:solidFill>
                    <a:latin typeface="Arial"/>
                    <a:ea typeface="Arial"/>
                    <a:cs typeface="Arial"/>
                  </a:defRPr>
                </a:pPr>
                <a:r>
                  <a:rPr lang="de-DE"/>
                  <a:t>kg Milch / Kuh</a:t>
                </a:r>
              </a:p>
            </c:rich>
          </c:tx>
          <c:layout>
            <c:manualLayout>
              <c:xMode val="edge"/>
              <c:yMode val="edge"/>
              <c:x val="0.81864401584703506"/>
              <c:y val="0.13829796838587849"/>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74449792"/>
        <c:crosses val="max"/>
        <c:crossBetween val="midCat"/>
      </c:valAx>
      <c:spPr>
        <a:solidFill>
          <a:srgbClr val="FFFFFF"/>
        </a:solidFill>
        <a:ln w="12700">
          <a:solidFill>
            <a:srgbClr val="808080"/>
          </a:solidFill>
          <a:prstDash val="solid"/>
        </a:ln>
      </c:spPr>
    </c:plotArea>
    <c:legend>
      <c:legendPos val="r"/>
      <c:layout>
        <c:manualLayout>
          <c:xMode val="edge"/>
          <c:yMode val="edge"/>
          <c:x val="0.4062039871693604"/>
          <c:y val="0.1464176356109739"/>
          <c:w val="0.33087149617565365"/>
          <c:h val="0.17133964036417884"/>
        </c:manualLayout>
      </c:layout>
      <c:overlay val="0"/>
      <c:spPr>
        <a:solidFill>
          <a:srgbClr val="FFFFFF"/>
        </a:solidFill>
        <a:ln w="3175">
          <a:solidFill>
            <a:srgbClr val="000000"/>
          </a:solidFill>
          <a:prstDash val="solid"/>
        </a:ln>
      </c:spPr>
      <c:txPr>
        <a:bodyPr/>
        <a:lstStyle/>
        <a:p>
          <a:pPr>
            <a:defRPr sz="61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1200"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numRef>
              <c:f>Strukturentwicklung!$BA$4:$BA$71</c:f>
              <c:numCache>
                <c:formatCode>General</c:formatCode>
                <c:ptCount val="68"/>
                <c:pt idx="0">
                  <c:v>1973</c:v>
                </c:pt>
                <c:pt idx="1">
                  <c:v>74</c:v>
                </c:pt>
                <c:pt idx="2">
                  <c:v>75</c:v>
                </c:pt>
                <c:pt idx="3">
                  <c:v>76</c:v>
                </c:pt>
                <c:pt idx="4">
                  <c:v>77</c:v>
                </c:pt>
                <c:pt idx="5">
                  <c:v>78</c:v>
                </c:pt>
                <c:pt idx="6">
                  <c:v>79</c:v>
                </c:pt>
                <c:pt idx="7">
                  <c:v>80</c:v>
                </c:pt>
                <c:pt idx="8">
                  <c:v>81</c:v>
                </c:pt>
                <c:pt idx="9">
                  <c:v>82</c:v>
                </c:pt>
                <c:pt idx="10">
                  <c:v>83</c:v>
                </c:pt>
                <c:pt idx="11">
                  <c:v>84</c:v>
                </c:pt>
                <c:pt idx="12">
                  <c:v>85</c:v>
                </c:pt>
                <c:pt idx="13">
                  <c:v>86</c:v>
                </c:pt>
                <c:pt idx="14">
                  <c:v>87</c:v>
                </c:pt>
                <c:pt idx="15">
                  <c:v>88</c:v>
                </c:pt>
                <c:pt idx="16">
                  <c:v>89</c:v>
                </c:pt>
                <c:pt idx="17">
                  <c:v>90</c:v>
                </c:pt>
                <c:pt idx="18">
                  <c:v>91</c:v>
                </c:pt>
                <c:pt idx="19">
                  <c:v>92</c:v>
                </c:pt>
                <c:pt idx="20">
                  <c:v>93</c:v>
                </c:pt>
                <c:pt idx="21">
                  <c:v>94</c:v>
                </c:pt>
                <c:pt idx="22">
                  <c:v>95</c:v>
                </c:pt>
                <c:pt idx="23">
                  <c:v>96</c:v>
                </c:pt>
                <c:pt idx="24">
                  <c:v>97</c:v>
                </c:pt>
                <c:pt idx="25">
                  <c:v>98</c:v>
                </c:pt>
                <c:pt idx="26">
                  <c:v>99</c:v>
                </c:pt>
                <c:pt idx="27">
                  <c:v>0</c:v>
                </c:pt>
                <c:pt idx="28">
                  <c:v>1</c:v>
                </c:pt>
                <c:pt idx="29">
                  <c:v>2</c:v>
                </c:pt>
                <c:pt idx="30">
                  <c:v>3</c:v>
                </c:pt>
                <c:pt idx="31">
                  <c:v>4</c:v>
                </c:pt>
                <c:pt idx="32">
                  <c:v>5</c:v>
                </c:pt>
                <c:pt idx="33">
                  <c:v>6</c:v>
                </c:pt>
                <c:pt idx="34">
                  <c:v>7</c:v>
                </c:pt>
                <c:pt idx="35">
                  <c:v>8</c:v>
                </c:pt>
                <c:pt idx="36">
                  <c:v>9</c:v>
                </c:pt>
                <c:pt idx="37">
                  <c:v>10</c:v>
                </c:pt>
                <c:pt idx="38">
                  <c:v>11</c:v>
                </c:pt>
                <c:pt idx="39">
                  <c:v>12</c:v>
                </c:pt>
                <c:pt idx="40">
                  <c:v>13</c:v>
                </c:pt>
                <c:pt idx="41">
                  <c:v>14</c:v>
                </c:pt>
                <c:pt idx="42">
                  <c:v>15</c:v>
                </c:pt>
                <c:pt idx="43">
                  <c:v>16</c:v>
                </c:pt>
                <c:pt idx="44">
                  <c:v>17</c:v>
                </c:pt>
                <c:pt idx="45">
                  <c:v>18</c:v>
                </c:pt>
                <c:pt idx="46">
                  <c:v>19</c:v>
                </c:pt>
                <c:pt idx="47">
                  <c:v>20</c:v>
                </c:pt>
                <c:pt idx="48">
                  <c:v>21</c:v>
                </c:pt>
                <c:pt idx="49">
                  <c:v>22</c:v>
                </c:pt>
                <c:pt idx="50">
                  <c:v>23</c:v>
                </c:pt>
                <c:pt idx="51">
                  <c:v>24</c:v>
                </c:pt>
                <c:pt idx="52">
                  <c:v>25</c:v>
                </c:pt>
                <c:pt idx="53">
                  <c:v>26</c:v>
                </c:pt>
                <c:pt idx="54">
                  <c:v>27</c:v>
                </c:pt>
                <c:pt idx="55">
                  <c:v>28</c:v>
                </c:pt>
                <c:pt idx="56">
                  <c:v>29</c:v>
                </c:pt>
                <c:pt idx="57">
                  <c:v>30</c:v>
                </c:pt>
                <c:pt idx="58">
                  <c:v>31</c:v>
                </c:pt>
                <c:pt idx="59">
                  <c:v>32</c:v>
                </c:pt>
                <c:pt idx="60">
                  <c:v>33</c:v>
                </c:pt>
                <c:pt idx="61">
                  <c:v>34</c:v>
                </c:pt>
                <c:pt idx="62">
                  <c:v>35</c:v>
                </c:pt>
                <c:pt idx="63">
                  <c:v>36</c:v>
                </c:pt>
                <c:pt idx="64">
                  <c:v>37</c:v>
                </c:pt>
                <c:pt idx="65">
                  <c:v>38</c:v>
                </c:pt>
                <c:pt idx="66">
                  <c:v>39</c:v>
                </c:pt>
                <c:pt idx="67">
                  <c:v>40</c:v>
                </c:pt>
              </c:numCache>
            </c:numRef>
          </c:cat>
          <c:val>
            <c:numRef>
              <c:f>Strukturentwicklung!$BB$4:$BB$71</c:f>
              <c:numCache>
                <c:formatCode>General</c:formatCode>
                <c:ptCount val="68"/>
                <c:pt idx="0">
                  <c:v>715.26300000000003</c:v>
                </c:pt>
                <c:pt idx="1">
                  <c:v>708.70799999999997</c:v>
                </c:pt>
                <c:pt idx="2">
                  <c:v>700.31</c:v>
                </c:pt>
                <c:pt idx="3">
                  <c:v>698.22500000000002</c:v>
                </c:pt>
                <c:pt idx="4">
                  <c:v>694.12300000000005</c:v>
                </c:pt>
                <c:pt idx="5">
                  <c:v>695.37300000000005</c:v>
                </c:pt>
                <c:pt idx="6">
                  <c:v>695.01099999999997</c:v>
                </c:pt>
                <c:pt idx="7">
                  <c:v>692.21900000000005</c:v>
                </c:pt>
                <c:pt idx="8">
                  <c:v>688.78899999999999</c:v>
                </c:pt>
                <c:pt idx="9">
                  <c:v>678.87</c:v>
                </c:pt>
                <c:pt idx="10">
                  <c:v>682.97299999999996</c:v>
                </c:pt>
                <c:pt idx="11">
                  <c:v>685.755</c:v>
                </c:pt>
                <c:pt idx="12">
                  <c:v>678.63300000000004</c:v>
                </c:pt>
                <c:pt idx="13">
                  <c:v>656.96900000000005</c:v>
                </c:pt>
                <c:pt idx="14">
                  <c:v>656.96900000000005</c:v>
                </c:pt>
                <c:pt idx="15">
                  <c:v>625.55600000000004</c:v>
                </c:pt>
                <c:pt idx="16">
                  <c:v>613.24800000000005</c:v>
                </c:pt>
                <c:pt idx="17">
                  <c:v>599.83299999999997</c:v>
                </c:pt>
                <c:pt idx="18">
                  <c:v>575.91800000000001</c:v>
                </c:pt>
                <c:pt idx="19">
                  <c:v>542.952</c:v>
                </c:pt>
                <c:pt idx="20">
                  <c:v>523.56100000000004</c:v>
                </c:pt>
                <c:pt idx="21">
                  <c:v>509.42200000000003</c:v>
                </c:pt>
                <c:pt idx="22">
                  <c:v>502.935</c:v>
                </c:pt>
                <c:pt idx="23">
                  <c:v>498.46300000000002</c:v>
                </c:pt>
                <c:pt idx="24">
                  <c:v>488.27100000000002</c:v>
                </c:pt>
                <c:pt idx="25">
                  <c:v>462.66699999999997</c:v>
                </c:pt>
                <c:pt idx="26">
                  <c:v>443.70400000000001</c:v>
                </c:pt>
                <c:pt idx="27">
                  <c:v>432.28899999999999</c:v>
                </c:pt>
                <c:pt idx="28">
                  <c:v>422</c:v>
                </c:pt>
                <c:pt idx="29">
                  <c:v>411</c:v>
                </c:pt>
                <c:pt idx="30">
                  <c:v>396</c:v>
                </c:pt>
                <c:pt idx="31">
                  <c:v>385</c:v>
                </c:pt>
                <c:pt idx="32">
                  <c:v>381</c:v>
                </c:pt>
                <c:pt idx="33">
                  <c:v>369</c:v>
                </c:pt>
                <c:pt idx="34">
                  <c:v>363</c:v>
                </c:pt>
                <c:pt idx="35">
                  <c:v>361</c:v>
                </c:pt>
                <c:pt idx="36">
                  <c:v>358</c:v>
                </c:pt>
                <c:pt idx="37">
                  <c:v>354</c:v>
                </c:pt>
                <c:pt idx="38">
                  <c:v>347</c:v>
                </c:pt>
                <c:pt idx="39">
                  <c:v>340</c:v>
                </c:pt>
                <c:pt idx="40">
                  <c:v>304.10230202429199</c:v>
                </c:pt>
                <c:pt idx="41">
                  <c:v>292.58335303643798</c:v>
                </c:pt>
                <c:pt idx="42">
                  <c:v>281.06440404858301</c:v>
                </c:pt>
                <c:pt idx="43">
                  <c:v>269.54545506072901</c:v>
                </c:pt>
                <c:pt idx="44">
                  <c:v>258.02650607287501</c:v>
                </c:pt>
                <c:pt idx="45">
                  <c:v>246.50755708502101</c:v>
                </c:pt>
                <c:pt idx="46">
                  <c:v>234.98860809716601</c:v>
                </c:pt>
                <c:pt idx="47">
                  <c:v>223.469659109312</c:v>
                </c:pt>
                <c:pt idx="48">
                  <c:v>211.950710121458</c:v>
                </c:pt>
                <c:pt idx="49">
                  <c:v>200.431761133604</c:v>
                </c:pt>
                <c:pt idx="50">
                  <c:v>188.912812145749</c:v>
                </c:pt>
                <c:pt idx="51">
                  <c:v>177.393863157895</c:v>
                </c:pt>
                <c:pt idx="52">
                  <c:v>165.874914170041</c:v>
                </c:pt>
                <c:pt idx="53">
                  <c:v>154.355965182186</c:v>
                </c:pt>
                <c:pt idx="54">
                  <c:v>142.83701619433199</c:v>
                </c:pt>
                <c:pt idx="55">
                  <c:v>131.31806720647799</c:v>
                </c:pt>
                <c:pt idx="56">
                  <c:v>119.799118218624</c:v>
                </c:pt>
                <c:pt idx="57">
                  <c:v>108.280169230769</c:v>
                </c:pt>
                <c:pt idx="58">
                  <c:v>96.761220242914803</c:v>
                </c:pt>
                <c:pt idx="59">
                  <c:v>85.2422712550607</c:v>
                </c:pt>
                <c:pt idx="60">
                  <c:v>73.723322267206797</c:v>
                </c:pt>
                <c:pt idx="61">
                  <c:v>62.204373279351699</c:v>
                </c:pt>
                <c:pt idx="62">
                  <c:v>50.685424291497696</c:v>
                </c:pt>
                <c:pt idx="63">
                  <c:v>39.166475303643701</c:v>
                </c:pt>
                <c:pt idx="64">
                  <c:v>27.647526315789701</c:v>
                </c:pt>
                <c:pt idx="65">
                  <c:v>16.1285773279347</c:v>
                </c:pt>
                <c:pt idx="66">
                  <c:v>4.6096283400806897</c:v>
                </c:pt>
                <c:pt idx="67">
                  <c:v>-6.9093206477722999</c:v>
                </c:pt>
              </c:numCache>
            </c:numRef>
          </c:val>
          <c:smooth val="0"/>
          <c:extLst>
            <c:ext xmlns:c16="http://schemas.microsoft.com/office/drawing/2014/chart" uri="{C3380CC4-5D6E-409C-BE32-E72D297353CC}">
              <c16:uniqueId val="{00000000-E18E-4F8E-9514-5BAF9AD84FA8}"/>
            </c:ext>
          </c:extLst>
        </c:ser>
        <c:ser>
          <c:idx val="1"/>
          <c:order val="1"/>
          <c:marker>
            <c:symbol val="none"/>
          </c:marker>
          <c:cat>
            <c:numRef>
              <c:f>Strukturentwicklung!$BA$4:$BA$71</c:f>
              <c:numCache>
                <c:formatCode>General</c:formatCode>
                <c:ptCount val="68"/>
                <c:pt idx="0">
                  <c:v>1973</c:v>
                </c:pt>
                <c:pt idx="1">
                  <c:v>74</c:v>
                </c:pt>
                <c:pt idx="2">
                  <c:v>75</c:v>
                </c:pt>
                <c:pt idx="3">
                  <c:v>76</c:v>
                </c:pt>
                <c:pt idx="4">
                  <c:v>77</c:v>
                </c:pt>
                <c:pt idx="5">
                  <c:v>78</c:v>
                </c:pt>
                <c:pt idx="6">
                  <c:v>79</c:v>
                </c:pt>
                <c:pt idx="7">
                  <c:v>80</c:v>
                </c:pt>
                <c:pt idx="8">
                  <c:v>81</c:v>
                </c:pt>
                <c:pt idx="9">
                  <c:v>82</c:v>
                </c:pt>
                <c:pt idx="10">
                  <c:v>83</c:v>
                </c:pt>
                <c:pt idx="11">
                  <c:v>84</c:v>
                </c:pt>
                <c:pt idx="12">
                  <c:v>85</c:v>
                </c:pt>
                <c:pt idx="13">
                  <c:v>86</c:v>
                </c:pt>
                <c:pt idx="14">
                  <c:v>87</c:v>
                </c:pt>
                <c:pt idx="15">
                  <c:v>88</c:v>
                </c:pt>
                <c:pt idx="16">
                  <c:v>89</c:v>
                </c:pt>
                <c:pt idx="17">
                  <c:v>90</c:v>
                </c:pt>
                <c:pt idx="18">
                  <c:v>91</c:v>
                </c:pt>
                <c:pt idx="19">
                  <c:v>92</c:v>
                </c:pt>
                <c:pt idx="20">
                  <c:v>93</c:v>
                </c:pt>
                <c:pt idx="21">
                  <c:v>94</c:v>
                </c:pt>
                <c:pt idx="22">
                  <c:v>95</c:v>
                </c:pt>
                <c:pt idx="23">
                  <c:v>96</c:v>
                </c:pt>
                <c:pt idx="24">
                  <c:v>97</c:v>
                </c:pt>
                <c:pt idx="25">
                  <c:v>98</c:v>
                </c:pt>
                <c:pt idx="26">
                  <c:v>99</c:v>
                </c:pt>
                <c:pt idx="27">
                  <c:v>0</c:v>
                </c:pt>
                <c:pt idx="28">
                  <c:v>1</c:v>
                </c:pt>
                <c:pt idx="29">
                  <c:v>2</c:v>
                </c:pt>
                <c:pt idx="30">
                  <c:v>3</c:v>
                </c:pt>
                <c:pt idx="31">
                  <c:v>4</c:v>
                </c:pt>
                <c:pt idx="32">
                  <c:v>5</c:v>
                </c:pt>
                <c:pt idx="33">
                  <c:v>6</c:v>
                </c:pt>
                <c:pt idx="34">
                  <c:v>7</c:v>
                </c:pt>
                <c:pt idx="35">
                  <c:v>8</c:v>
                </c:pt>
                <c:pt idx="36">
                  <c:v>9</c:v>
                </c:pt>
                <c:pt idx="37">
                  <c:v>10</c:v>
                </c:pt>
                <c:pt idx="38">
                  <c:v>11</c:v>
                </c:pt>
                <c:pt idx="39">
                  <c:v>12</c:v>
                </c:pt>
                <c:pt idx="40">
                  <c:v>13</c:v>
                </c:pt>
                <c:pt idx="41">
                  <c:v>14</c:v>
                </c:pt>
                <c:pt idx="42">
                  <c:v>15</c:v>
                </c:pt>
                <c:pt idx="43">
                  <c:v>16</c:v>
                </c:pt>
                <c:pt idx="44">
                  <c:v>17</c:v>
                </c:pt>
                <c:pt idx="45">
                  <c:v>18</c:v>
                </c:pt>
                <c:pt idx="46">
                  <c:v>19</c:v>
                </c:pt>
                <c:pt idx="47">
                  <c:v>20</c:v>
                </c:pt>
                <c:pt idx="48">
                  <c:v>21</c:v>
                </c:pt>
                <c:pt idx="49">
                  <c:v>22</c:v>
                </c:pt>
                <c:pt idx="50">
                  <c:v>23</c:v>
                </c:pt>
                <c:pt idx="51">
                  <c:v>24</c:v>
                </c:pt>
                <c:pt idx="52">
                  <c:v>25</c:v>
                </c:pt>
                <c:pt idx="53">
                  <c:v>26</c:v>
                </c:pt>
                <c:pt idx="54">
                  <c:v>27</c:v>
                </c:pt>
                <c:pt idx="55">
                  <c:v>28</c:v>
                </c:pt>
                <c:pt idx="56">
                  <c:v>29</c:v>
                </c:pt>
                <c:pt idx="57">
                  <c:v>30</c:v>
                </c:pt>
                <c:pt idx="58">
                  <c:v>31</c:v>
                </c:pt>
                <c:pt idx="59">
                  <c:v>32</c:v>
                </c:pt>
                <c:pt idx="60">
                  <c:v>33</c:v>
                </c:pt>
                <c:pt idx="61">
                  <c:v>34</c:v>
                </c:pt>
                <c:pt idx="62">
                  <c:v>35</c:v>
                </c:pt>
                <c:pt idx="63">
                  <c:v>36</c:v>
                </c:pt>
                <c:pt idx="64">
                  <c:v>37</c:v>
                </c:pt>
                <c:pt idx="65">
                  <c:v>38</c:v>
                </c:pt>
                <c:pt idx="66">
                  <c:v>39</c:v>
                </c:pt>
                <c:pt idx="67">
                  <c:v>40</c:v>
                </c:pt>
              </c:numCache>
            </c:numRef>
          </c:cat>
          <c:val>
            <c:numRef>
              <c:f>Strukturentwicklung!$BC$4:$BC$71</c:f>
              <c:numCache>
                <c:formatCode>General</c:formatCode>
                <c:ptCount val="68"/>
                <c:pt idx="0">
                  <c:v>3460.7633835386423</c:v>
                </c:pt>
                <c:pt idx="1">
                  <c:v>3536.0218877168031</c:v>
                </c:pt>
                <c:pt idx="2">
                  <c:v>3598.4464023075493</c:v>
                </c:pt>
                <c:pt idx="3">
                  <c:v>3682.8772960005731</c:v>
                </c:pt>
                <c:pt idx="4">
                  <c:v>3771.0348165959058</c:v>
                </c:pt>
                <c:pt idx="5">
                  <c:v>3837.9502799217112</c:v>
                </c:pt>
                <c:pt idx="6">
                  <c:v>3907.319452497874</c:v>
                </c:pt>
                <c:pt idx="7">
                  <c:v>4041.075151072132</c:v>
                </c:pt>
                <c:pt idx="8">
                  <c:v>3998.9895309013355</c:v>
                </c:pt>
                <c:pt idx="9">
                  <c:v>4074.8140291955747</c:v>
                </c:pt>
                <c:pt idx="10">
                  <c:v>4230.5083802727195</c:v>
                </c:pt>
                <c:pt idx="11">
                  <c:v>4120.123076025694</c:v>
                </c:pt>
                <c:pt idx="12">
                  <c:v>4101.4568993844978</c:v>
                </c:pt>
                <c:pt idx="13">
                  <c:v>4280.4607218909869</c:v>
                </c:pt>
                <c:pt idx="14">
                  <c:v>4030.852292878355</c:v>
                </c:pt>
                <c:pt idx="15">
                  <c:v>4085.8979851524086</c:v>
                </c:pt>
                <c:pt idx="16">
                  <c:v>4244.423137132123</c:v>
                </c:pt>
                <c:pt idx="17">
                  <c:v>4207.2893622058136</c:v>
                </c:pt>
                <c:pt idx="18">
                  <c:v>4285.2593598394214</c:v>
                </c:pt>
                <c:pt idx="19">
                  <c:v>4388.1853276164375</c:v>
                </c:pt>
                <c:pt idx="20">
                  <c:v>4620.0691036956532</c:v>
                </c:pt>
                <c:pt idx="21">
                  <c:v>4731.7292931989587</c:v>
                </c:pt>
                <c:pt idx="22">
                  <c:v>4843.2063785578657</c:v>
                </c:pt>
                <c:pt idx="23">
                  <c:v>4926.0165749514008</c:v>
                </c:pt>
                <c:pt idx="24">
                  <c:v>5062.9466013750562</c:v>
                </c:pt>
                <c:pt idx="25">
                  <c:v>4976</c:v>
                </c:pt>
                <c:pt idx="26">
                  <c:v>5077</c:v>
                </c:pt>
                <c:pt idx="27">
                  <c:v>5267</c:v>
                </c:pt>
                <c:pt idx="28">
                  <c:v>5408</c:v>
                </c:pt>
                <c:pt idx="29">
                  <c:v>5518</c:v>
                </c:pt>
                <c:pt idx="30">
                  <c:v>5783</c:v>
                </c:pt>
                <c:pt idx="31">
                  <c:v>5809</c:v>
                </c:pt>
                <c:pt idx="32">
                  <c:v>5867</c:v>
                </c:pt>
                <c:pt idx="33">
                  <c:v>5892</c:v>
                </c:pt>
                <c:pt idx="34">
                  <c:v>6089</c:v>
                </c:pt>
                <c:pt idx="35">
                  <c:v>6082</c:v>
                </c:pt>
                <c:pt idx="36">
                  <c:v>6198</c:v>
                </c:pt>
                <c:pt idx="37">
                  <c:v>6309</c:v>
                </c:pt>
                <c:pt idx="38">
                  <c:v>6579</c:v>
                </c:pt>
                <c:pt idx="39">
                  <c:v>6273.9186450305197</c:v>
                </c:pt>
                <c:pt idx="40">
                  <c:v>6350.5354532770098</c:v>
                </c:pt>
                <c:pt idx="41">
                  <c:v>6427.1522615234999</c:v>
                </c:pt>
                <c:pt idx="42">
                  <c:v>6503.76906977</c:v>
                </c:pt>
                <c:pt idx="43">
                  <c:v>6580.3858780164901</c:v>
                </c:pt>
                <c:pt idx="44">
                  <c:v>6657.0026862629802</c:v>
                </c:pt>
                <c:pt idx="45">
                  <c:v>6733.6194945094803</c:v>
                </c:pt>
                <c:pt idx="46">
                  <c:v>6810.2363027559704</c:v>
                </c:pt>
                <c:pt idx="47">
                  <c:v>6886.8531110024596</c:v>
                </c:pt>
                <c:pt idx="48">
                  <c:v>6963.4699192489597</c:v>
                </c:pt>
                <c:pt idx="49">
                  <c:v>7040.0867274954498</c:v>
                </c:pt>
                <c:pt idx="50">
                  <c:v>7116.70353574194</c:v>
                </c:pt>
                <c:pt idx="51">
                  <c:v>7193.3203439884401</c:v>
                </c:pt>
                <c:pt idx="52">
                  <c:v>7269.9371522349302</c:v>
                </c:pt>
                <c:pt idx="53">
                  <c:v>7346.5539604814203</c:v>
                </c:pt>
                <c:pt idx="54">
                  <c:v>7423.1707687279204</c:v>
                </c:pt>
                <c:pt idx="55">
                  <c:v>7499.7875769744096</c:v>
                </c:pt>
                <c:pt idx="56">
                  <c:v>7576.4043852208997</c:v>
                </c:pt>
                <c:pt idx="57">
                  <c:v>7653.0211934673998</c:v>
                </c:pt>
                <c:pt idx="58">
                  <c:v>7729.6380017138899</c:v>
                </c:pt>
                <c:pt idx="59">
                  <c:v>7806.25480996038</c:v>
                </c:pt>
                <c:pt idx="60">
                  <c:v>7882.8716182068802</c:v>
                </c:pt>
                <c:pt idx="61">
                  <c:v>7959.4884264533703</c:v>
                </c:pt>
                <c:pt idx="62">
                  <c:v>8036.1052346998604</c:v>
                </c:pt>
                <c:pt idx="63">
                  <c:v>8112.7220429463596</c:v>
                </c:pt>
                <c:pt idx="64">
                  <c:v>8189.3388511928497</c:v>
                </c:pt>
                <c:pt idx="65">
                  <c:v>8265.9556594393398</c:v>
                </c:pt>
                <c:pt idx="66">
                  <c:v>8342.5724676858408</c:v>
                </c:pt>
                <c:pt idx="67">
                  <c:v>8419.18927593232</c:v>
                </c:pt>
              </c:numCache>
            </c:numRef>
          </c:val>
          <c:smooth val="0"/>
          <c:extLst>
            <c:ext xmlns:c16="http://schemas.microsoft.com/office/drawing/2014/chart" uri="{C3380CC4-5D6E-409C-BE32-E72D297353CC}">
              <c16:uniqueId val="{00000001-E18E-4F8E-9514-5BAF9AD84FA8}"/>
            </c:ext>
          </c:extLst>
        </c:ser>
        <c:dLbls>
          <c:showLegendKey val="0"/>
          <c:showVal val="0"/>
          <c:showCatName val="0"/>
          <c:showSerName val="0"/>
          <c:showPercent val="0"/>
          <c:showBubbleSize val="0"/>
        </c:dLbls>
        <c:smooth val="0"/>
        <c:axId val="174227456"/>
        <c:axId val="174228992"/>
      </c:lineChart>
      <c:catAx>
        <c:axId val="174227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e-DE"/>
          </a:p>
        </c:txPr>
        <c:crossAx val="174228992"/>
        <c:crosses val="autoZero"/>
        <c:auto val="1"/>
        <c:lblAlgn val="ctr"/>
        <c:lblOffset val="100"/>
        <c:noMultiLvlLbl val="0"/>
      </c:catAx>
      <c:valAx>
        <c:axId val="174228992"/>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74227456"/>
        <c:crosses val="autoZero"/>
        <c:crossBetween val="between"/>
      </c:valAx>
    </c:plotArea>
    <c:legend>
      <c:legendPos val="r"/>
      <c:layout>
        <c:manualLayout>
          <c:xMode val="edge"/>
          <c:yMode val="edge"/>
          <c:x val="0.85613257327209102"/>
          <c:y val="0.45233730309948639"/>
          <c:w val="0.1332547298775153"/>
          <c:h val="8.9719778237160819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150" b="1" i="0" u="none" strike="noStrike" baseline="0">
                <a:solidFill>
                  <a:srgbClr val="000000"/>
                </a:solidFill>
                <a:latin typeface="Arial"/>
                <a:ea typeface="Arial"/>
                <a:cs typeface="Arial"/>
              </a:defRPr>
            </a:pPr>
            <a:r>
              <a:rPr lang="de-DE"/>
              <a:t>Entwicklung der Quotenpreise in B.W.; ab Juli 2007: D-West</a:t>
            </a:r>
          </a:p>
        </c:rich>
      </c:tx>
      <c:layout>
        <c:manualLayout>
          <c:xMode val="edge"/>
          <c:yMode val="edge"/>
          <c:x val="6.1869562147681967E-2"/>
          <c:y val="2.2151832035096068E-2"/>
        </c:manualLayout>
      </c:layout>
      <c:overlay val="0"/>
      <c:spPr>
        <a:noFill/>
        <a:ln w="25400">
          <a:noFill/>
        </a:ln>
      </c:spPr>
    </c:title>
    <c:autoTitleDeleted val="0"/>
    <c:plotArea>
      <c:layout>
        <c:manualLayout>
          <c:layoutTarget val="inner"/>
          <c:xMode val="edge"/>
          <c:yMode val="edge"/>
          <c:x val="9.8856758574310699E-2"/>
          <c:y val="0.19778481012658228"/>
          <c:w val="0.8850033624747814"/>
          <c:h val="0.54905063291139244"/>
        </c:manualLayout>
      </c:layout>
      <c:lineChart>
        <c:grouping val="standard"/>
        <c:varyColors val="0"/>
        <c:ser>
          <c:idx val="0"/>
          <c:order val="0"/>
          <c:tx>
            <c:v>Ø-B.W.bis 07;ab Juli 07 D-West;  € je kg</c:v>
          </c:tx>
          <c:spPr>
            <a:ln w="38100">
              <a:solidFill>
                <a:srgbClr val="FF0000"/>
              </a:solidFill>
              <a:prstDash val="solid"/>
            </a:ln>
          </c:spPr>
          <c:marker>
            <c:symbol val="diamond"/>
            <c:size val="10"/>
            <c:spPr>
              <a:solidFill>
                <a:srgbClr val="000080"/>
              </a:solidFill>
              <a:ln>
                <a:solidFill>
                  <a:srgbClr val="000080"/>
                </a:solidFill>
                <a:prstDash val="solid"/>
              </a:ln>
            </c:spPr>
          </c:marker>
          <c:dPt>
            <c:idx val="21"/>
            <c:bubble3D val="0"/>
            <c:spPr>
              <a:ln w="28575">
                <a:noFill/>
              </a:ln>
            </c:spPr>
            <c:extLst>
              <c:ext xmlns:c16="http://schemas.microsoft.com/office/drawing/2014/chart" uri="{C3380CC4-5D6E-409C-BE32-E72D297353CC}">
                <c16:uniqueId val="{00000001-2F4E-4E38-BFB9-1C7435178222}"/>
              </c:ext>
            </c:extLst>
          </c:dPt>
          <c:cat>
            <c:numRef>
              <c:f>'Preisstatistik (2)'!$AA$10:$BI$10</c:f>
              <c:numCache>
                <c:formatCode>mmm/\ yy</c:formatCode>
                <c:ptCount val="35"/>
                <c:pt idx="0">
                  <c:v>36982</c:v>
                </c:pt>
                <c:pt idx="1">
                  <c:v>37073</c:v>
                </c:pt>
                <c:pt idx="2">
                  <c:v>37165</c:v>
                </c:pt>
                <c:pt idx="3">
                  <c:v>37347</c:v>
                </c:pt>
                <c:pt idx="4">
                  <c:v>37438</c:v>
                </c:pt>
                <c:pt idx="5">
                  <c:v>37559</c:v>
                </c:pt>
                <c:pt idx="6">
                  <c:v>37712</c:v>
                </c:pt>
                <c:pt idx="7">
                  <c:v>37803</c:v>
                </c:pt>
                <c:pt idx="8">
                  <c:v>37895</c:v>
                </c:pt>
                <c:pt idx="9">
                  <c:v>38078</c:v>
                </c:pt>
                <c:pt idx="10">
                  <c:v>38169</c:v>
                </c:pt>
                <c:pt idx="11">
                  <c:v>38261</c:v>
                </c:pt>
                <c:pt idx="12">
                  <c:v>38443</c:v>
                </c:pt>
                <c:pt idx="13">
                  <c:v>38534</c:v>
                </c:pt>
                <c:pt idx="14">
                  <c:v>38626</c:v>
                </c:pt>
                <c:pt idx="15">
                  <c:v>38808</c:v>
                </c:pt>
                <c:pt idx="16">
                  <c:v>38899</c:v>
                </c:pt>
                <c:pt idx="17">
                  <c:v>38991</c:v>
                </c:pt>
                <c:pt idx="18">
                  <c:v>39173</c:v>
                </c:pt>
                <c:pt idx="19">
                  <c:v>39264</c:v>
                </c:pt>
                <c:pt idx="20">
                  <c:v>39388</c:v>
                </c:pt>
                <c:pt idx="21">
                  <c:v>39539</c:v>
                </c:pt>
                <c:pt idx="22">
                  <c:v>39630</c:v>
                </c:pt>
                <c:pt idx="23">
                  <c:v>39753</c:v>
                </c:pt>
                <c:pt idx="24">
                  <c:v>39904</c:v>
                </c:pt>
                <c:pt idx="25">
                  <c:v>39995</c:v>
                </c:pt>
                <c:pt idx="26">
                  <c:v>40118</c:v>
                </c:pt>
                <c:pt idx="27">
                  <c:v>40269</c:v>
                </c:pt>
                <c:pt idx="28">
                  <c:v>40360</c:v>
                </c:pt>
                <c:pt idx="29">
                  <c:v>40484</c:v>
                </c:pt>
                <c:pt idx="30">
                  <c:v>40634</c:v>
                </c:pt>
                <c:pt idx="31">
                  <c:v>40725</c:v>
                </c:pt>
                <c:pt idx="32">
                  <c:v>40849</c:v>
                </c:pt>
                <c:pt idx="33">
                  <c:v>41000</c:v>
                </c:pt>
                <c:pt idx="34">
                  <c:v>41091</c:v>
                </c:pt>
              </c:numCache>
            </c:numRef>
          </c:cat>
          <c:val>
            <c:numRef>
              <c:f>'Preisstatistik (2)'!$AA$17:$BI$17</c:f>
              <c:numCache>
                <c:formatCode>_-* #,##0.00\ [$€-1]_-;\-* #,##0.00\ [$€-1]_-;_-* "-"??\ [$€-1]_-</c:formatCode>
                <c:ptCount val="35"/>
                <c:pt idx="0">
                  <c:v>0.52574288255638679</c:v>
                </c:pt>
                <c:pt idx="1">
                  <c:v>0.60343631373552076</c:v>
                </c:pt>
                <c:pt idx="2">
                  <c:v>0.7333636517466332</c:v>
                </c:pt>
                <c:pt idx="3">
                  <c:v>0.67606685972691383</c:v>
                </c:pt>
                <c:pt idx="4">
                  <c:v>0.71072139823726099</c:v>
                </c:pt>
                <c:pt idx="5">
                  <c:v>0.51873259116170045</c:v>
                </c:pt>
                <c:pt idx="6">
                  <c:v>0.49</c:v>
                </c:pt>
                <c:pt idx="7">
                  <c:v>0.43</c:v>
                </c:pt>
                <c:pt idx="8">
                  <c:v>0.4</c:v>
                </c:pt>
                <c:pt idx="9">
                  <c:v>0.34</c:v>
                </c:pt>
                <c:pt idx="10">
                  <c:v>0.35</c:v>
                </c:pt>
                <c:pt idx="11">
                  <c:v>0.39</c:v>
                </c:pt>
                <c:pt idx="12">
                  <c:v>0.28999999999999998</c:v>
                </c:pt>
                <c:pt idx="13">
                  <c:v>0.33</c:v>
                </c:pt>
                <c:pt idx="14">
                  <c:v>0.40886934917870199</c:v>
                </c:pt>
                <c:pt idx="15">
                  <c:v>0.38542447573713057</c:v>
                </c:pt>
                <c:pt idx="16">
                  <c:v>0.40301049172597841</c:v>
                </c:pt>
                <c:pt idx="17">
                  <c:v>0.38606560753145419</c:v>
                </c:pt>
                <c:pt idx="18">
                  <c:v>0.30972924000570351</c:v>
                </c:pt>
                <c:pt idx="19">
                  <c:v>0.42</c:v>
                </c:pt>
                <c:pt idx="20">
                  <c:v>0.37</c:v>
                </c:pt>
                <c:pt idx="21">
                  <c:v>0.32</c:v>
                </c:pt>
                <c:pt idx="22">
                  <c:v>0.34</c:v>
                </c:pt>
                <c:pt idx="23">
                  <c:v>0.41</c:v>
                </c:pt>
                <c:pt idx="24">
                  <c:v>0.24</c:v>
                </c:pt>
                <c:pt idx="25">
                  <c:v>0.15</c:v>
                </c:pt>
                <c:pt idx="26">
                  <c:v>0.2</c:v>
                </c:pt>
                <c:pt idx="27">
                  <c:v>0.11</c:v>
                </c:pt>
                <c:pt idx="28">
                  <c:v>0.12</c:v>
                </c:pt>
                <c:pt idx="29">
                  <c:v>0.08</c:v>
                </c:pt>
                <c:pt idx="30">
                  <c:v>0.08</c:v>
                </c:pt>
                <c:pt idx="31">
                  <c:v>0.09</c:v>
                </c:pt>
                <c:pt idx="32">
                  <c:v>0.13</c:v>
                </c:pt>
                <c:pt idx="33">
                  <c:v>0.12</c:v>
                </c:pt>
                <c:pt idx="34">
                  <c:v>0.14000000000000001</c:v>
                </c:pt>
              </c:numCache>
            </c:numRef>
          </c:val>
          <c:smooth val="0"/>
          <c:extLst>
            <c:ext xmlns:c16="http://schemas.microsoft.com/office/drawing/2014/chart" uri="{C3380CC4-5D6E-409C-BE32-E72D297353CC}">
              <c16:uniqueId val="{00000002-2F4E-4E38-BFB9-1C7435178222}"/>
            </c:ext>
          </c:extLst>
        </c:ser>
        <c:ser>
          <c:idx val="4"/>
          <c:order val="1"/>
          <c:tx>
            <c:strRef>
              <c:f>'Preisstatistik (2)'!$U$15</c:f>
              <c:strCache>
                <c:ptCount val="1"/>
                <c:pt idx="0">
                  <c:v>RP Tübingen</c:v>
                </c:pt>
              </c:strCache>
            </c:strRef>
          </c:tx>
          <c:spPr>
            <a:ln w="12700">
              <a:solidFill>
                <a:srgbClr val="800080"/>
              </a:solidFill>
              <a:prstDash val="sysDash"/>
            </a:ln>
          </c:spPr>
          <c:marker>
            <c:symbol val="square"/>
            <c:size val="5"/>
            <c:spPr>
              <a:solidFill>
                <a:srgbClr val="800080"/>
              </a:solidFill>
              <a:ln>
                <a:solidFill>
                  <a:srgbClr val="800080"/>
                </a:solidFill>
                <a:prstDash val="solid"/>
              </a:ln>
            </c:spPr>
          </c:marker>
          <c:cat>
            <c:numRef>
              <c:f>'Preisstatistik (2)'!$AA$10:$BI$10</c:f>
              <c:numCache>
                <c:formatCode>mmm/\ yy</c:formatCode>
                <c:ptCount val="35"/>
                <c:pt idx="0">
                  <c:v>36982</c:v>
                </c:pt>
                <c:pt idx="1">
                  <c:v>37073</c:v>
                </c:pt>
                <c:pt idx="2">
                  <c:v>37165</c:v>
                </c:pt>
                <c:pt idx="3">
                  <c:v>37347</c:v>
                </c:pt>
                <c:pt idx="4">
                  <c:v>37438</c:v>
                </c:pt>
                <c:pt idx="5">
                  <c:v>37559</c:v>
                </c:pt>
                <c:pt idx="6">
                  <c:v>37712</c:v>
                </c:pt>
                <c:pt idx="7">
                  <c:v>37803</c:v>
                </c:pt>
                <c:pt idx="8">
                  <c:v>37895</c:v>
                </c:pt>
                <c:pt idx="9">
                  <c:v>38078</c:v>
                </c:pt>
                <c:pt idx="10">
                  <c:v>38169</c:v>
                </c:pt>
                <c:pt idx="11">
                  <c:v>38261</c:v>
                </c:pt>
                <c:pt idx="12">
                  <c:v>38443</c:v>
                </c:pt>
                <c:pt idx="13">
                  <c:v>38534</c:v>
                </c:pt>
                <c:pt idx="14">
                  <c:v>38626</c:v>
                </c:pt>
                <c:pt idx="15">
                  <c:v>38808</c:v>
                </c:pt>
                <c:pt idx="16">
                  <c:v>38899</c:v>
                </c:pt>
                <c:pt idx="17">
                  <c:v>38991</c:v>
                </c:pt>
                <c:pt idx="18">
                  <c:v>39173</c:v>
                </c:pt>
                <c:pt idx="19">
                  <c:v>39264</c:v>
                </c:pt>
                <c:pt idx="20">
                  <c:v>39388</c:v>
                </c:pt>
                <c:pt idx="21">
                  <c:v>39539</c:v>
                </c:pt>
                <c:pt idx="22">
                  <c:v>39630</c:v>
                </c:pt>
                <c:pt idx="23">
                  <c:v>39753</c:v>
                </c:pt>
                <c:pt idx="24">
                  <c:v>39904</c:v>
                </c:pt>
                <c:pt idx="25">
                  <c:v>39995</c:v>
                </c:pt>
                <c:pt idx="26">
                  <c:v>40118</c:v>
                </c:pt>
                <c:pt idx="27">
                  <c:v>40269</c:v>
                </c:pt>
                <c:pt idx="28">
                  <c:v>40360</c:v>
                </c:pt>
                <c:pt idx="29">
                  <c:v>40484</c:v>
                </c:pt>
                <c:pt idx="30">
                  <c:v>40634</c:v>
                </c:pt>
                <c:pt idx="31">
                  <c:v>40725</c:v>
                </c:pt>
                <c:pt idx="32">
                  <c:v>40849</c:v>
                </c:pt>
                <c:pt idx="33">
                  <c:v>41000</c:v>
                </c:pt>
                <c:pt idx="34">
                  <c:v>41091</c:v>
                </c:pt>
              </c:numCache>
            </c:numRef>
          </c:cat>
          <c:val>
            <c:numRef>
              <c:f>'Preisstatistik (2)'!$Y$15:$AU$15</c:f>
              <c:numCache>
                <c:formatCode>_-* #,##0.00\ [$€-1]_-;\-* #,##0.00\ [$€-1]_-;_-* "-"??\ [$€-1]_-</c:formatCode>
                <c:ptCount val="23"/>
                <c:pt idx="0">
                  <c:v>0.6186631762474244</c:v>
                </c:pt>
                <c:pt idx="1">
                  <c:v>0.82317992872591172</c:v>
                </c:pt>
                <c:pt idx="2">
                  <c:v>0.53685647525602942</c:v>
                </c:pt>
                <c:pt idx="3">
                  <c:v>0.66979236436704626</c:v>
                </c:pt>
                <c:pt idx="4">
                  <c:v>0.84874452278572265</c:v>
                </c:pt>
                <c:pt idx="5">
                  <c:v>0.75</c:v>
                </c:pt>
                <c:pt idx="6">
                  <c:v>0.79</c:v>
                </c:pt>
                <c:pt idx="7">
                  <c:v>0.52</c:v>
                </c:pt>
                <c:pt idx="8">
                  <c:v>0.53</c:v>
                </c:pt>
                <c:pt idx="9">
                  <c:v>0.49</c:v>
                </c:pt>
                <c:pt idx="10">
                  <c:v>0.44</c:v>
                </c:pt>
                <c:pt idx="11">
                  <c:v>0.36</c:v>
                </c:pt>
                <c:pt idx="12">
                  <c:v>0.37</c:v>
                </c:pt>
                <c:pt idx="13">
                  <c:v>0.43</c:v>
                </c:pt>
                <c:pt idx="14">
                  <c:v>0.3</c:v>
                </c:pt>
                <c:pt idx="15">
                  <c:v>0.34</c:v>
                </c:pt>
                <c:pt idx="16">
                  <c:v>0.42</c:v>
                </c:pt>
                <c:pt idx="17">
                  <c:v>0.37</c:v>
                </c:pt>
                <c:pt idx="18">
                  <c:v>0.41</c:v>
                </c:pt>
                <c:pt idx="19">
                  <c:v>0.37</c:v>
                </c:pt>
                <c:pt idx="20">
                  <c:v>0.31</c:v>
                </c:pt>
              </c:numCache>
            </c:numRef>
          </c:val>
          <c:smooth val="0"/>
          <c:extLst>
            <c:ext xmlns:c16="http://schemas.microsoft.com/office/drawing/2014/chart" uri="{C3380CC4-5D6E-409C-BE32-E72D297353CC}">
              <c16:uniqueId val="{00000003-2F4E-4E38-BFB9-1C7435178222}"/>
            </c:ext>
          </c:extLst>
        </c:ser>
        <c:ser>
          <c:idx val="1"/>
          <c:order val="2"/>
          <c:tx>
            <c:strRef>
              <c:f>'Preisstatistik (2)'!$U$14</c:f>
              <c:strCache>
                <c:ptCount val="1"/>
                <c:pt idx="0">
                  <c:v>RP Freiburg</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'Preisstatistik (2)'!$AA$10:$BI$10</c:f>
              <c:numCache>
                <c:formatCode>mmm/\ yy</c:formatCode>
                <c:ptCount val="35"/>
                <c:pt idx="0">
                  <c:v>36982</c:v>
                </c:pt>
                <c:pt idx="1">
                  <c:v>37073</c:v>
                </c:pt>
                <c:pt idx="2">
                  <c:v>37165</c:v>
                </c:pt>
                <c:pt idx="3">
                  <c:v>37347</c:v>
                </c:pt>
                <c:pt idx="4">
                  <c:v>37438</c:v>
                </c:pt>
                <c:pt idx="5">
                  <c:v>37559</c:v>
                </c:pt>
                <c:pt idx="6">
                  <c:v>37712</c:v>
                </c:pt>
                <c:pt idx="7">
                  <c:v>37803</c:v>
                </c:pt>
                <c:pt idx="8">
                  <c:v>37895</c:v>
                </c:pt>
                <c:pt idx="9">
                  <c:v>38078</c:v>
                </c:pt>
                <c:pt idx="10">
                  <c:v>38169</c:v>
                </c:pt>
                <c:pt idx="11">
                  <c:v>38261</c:v>
                </c:pt>
                <c:pt idx="12">
                  <c:v>38443</c:v>
                </c:pt>
                <c:pt idx="13">
                  <c:v>38534</c:v>
                </c:pt>
                <c:pt idx="14">
                  <c:v>38626</c:v>
                </c:pt>
                <c:pt idx="15">
                  <c:v>38808</c:v>
                </c:pt>
                <c:pt idx="16">
                  <c:v>38899</c:v>
                </c:pt>
                <c:pt idx="17">
                  <c:v>38991</c:v>
                </c:pt>
                <c:pt idx="18">
                  <c:v>39173</c:v>
                </c:pt>
                <c:pt idx="19">
                  <c:v>39264</c:v>
                </c:pt>
                <c:pt idx="20">
                  <c:v>39388</c:v>
                </c:pt>
                <c:pt idx="21">
                  <c:v>39539</c:v>
                </c:pt>
                <c:pt idx="22">
                  <c:v>39630</c:v>
                </c:pt>
                <c:pt idx="23">
                  <c:v>39753</c:v>
                </c:pt>
                <c:pt idx="24">
                  <c:v>39904</c:v>
                </c:pt>
                <c:pt idx="25">
                  <c:v>39995</c:v>
                </c:pt>
                <c:pt idx="26">
                  <c:v>40118</c:v>
                </c:pt>
                <c:pt idx="27">
                  <c:v>40269</c:v>
                </c:pt>
                <c:pt idx="28">
                  <c:v>40360</c:v>
                </c:pt>
                <c:pt idx="29">
                  <c:v>40484</c:v>
                </c:pt>
                <c:pt idx="30">
                  <c:v>40634</c:v>
                </c:pt>
                <c:pt idx="31">
                  <c:v>40725</c:v>
                </c:pt>
                <c:pt idx="32">
                  <c:v>40849</c:v>
                </c:pt>
                <c:pt idx="33">
                  <c:v>41000</c:v>
                </c:pt>
                <c:pt idx="34">
                  <c:v>41091</c:v>
                </c:pt>
              </c:numCache>
            </c:numRef>
          </c:cat>
          <c:val>
            <c:numRef>
              <c:f>'Preisstatistik (2)'!$Y$14:$AU$14</c:f>
              <c:numCache>
                <c:formatCode>_-* #,##0.00\ [$€-1]_-;\-* #,##0.00\ [$€-1]_-;_-* "-"??\ [$€-1]_-</c:formatCode>
                <c:ptCount val="23"/>
                <c:pt idx="0">
                  <c:v>0.56242106931584035</c:v>
                </c:pt>
                <c:pt idx="1">
                  <c:v>0.74648614654647905</c:v>
                </c:pt>
                <c:pt idx="2">
                  <c:v>0.58798566337565128</c:v>
                </c:pt>
                <c:pt idx="3">
                  <c:v>0.64934068911919751</c:v>
                </c:pt>
                <c:pt idx="4">
                  <c:v>0.77205074060628998</c:v>
                </c:pt>
                <c:pt idx="5">
                  <c:v>0.75</c:v>
                </c:pt>
                <c:pt idx="6">
                  <c:v>0.8</c:v>
                </c:pt>
                <c:pt idx="7">
                  <c:v>0.62</c:v>
                </c:pt>
                <c:pt idx="8">
                  <c:v>0.57999999999999996</c:v>
                </c:pt>
                <c:pt idx="9">
                  <c:v>0.49</c:v>
                </c:pt>
                <c:pt idx="10">
                  <c:v>0.41</c:v>
                </c:pt>
                <c:pt idx="11">
                  <c:v>0.43</c:v>
                </c:pt>
                <c:pt idx="12">
                  <c:v>0.45</c:v>
                </c:pt>
                <c:pt idx="13">
                  <c:v>0.51</c:v>
                </c:pt>
                <c:pt idx="14">
                  <c:v>0.34</c:v>
                </c:pt>
                <c:pt idx="15">
                  <c:v>0.35</c:v>
                </c:pt>
                <c:pt idx="16">
                  <c:v>0.47</c:v>
                </c:pt>
                <c:pt idx="17">
                  <c:v>0.39</c:v>
                </c:pt>
                <c:pt idx="18">
                  <c:v>0.4</c:v>
                </c:pt>
                <c:pt idx="19">
                  <c:v>0.28999999999999998</c:v>
                </c:pt>
                <c:pt idx="20">
                  <c:v>0.34</c:v>
                </c:pt>
              </c:numCache>
            </c:numRef>
          </c:val>
          <c:smooth val="0"/>
          <c:extLst>
            <c:ext xmlns:c16="http://schemas.microsoft.com/office/drawing/2014/chart" uri="{C3380CC4-5D6E-409C-BE32-E72D297353CC}">
              <c16:uniqueId val="{00000004-2F4E-4E38-BFB9-1C7435178222}"/>
            </c:ext>
          </c:extLst>
        </c:ser>
        <c:ser>
          <c:idx val="2"/>
          <c:order val="3"/>
          <c:tx>
            <c:strRef>
              <c:f>'Preisstatistik (2)'!$U$12</c:f>
              <c:strCache>
                <c:ptCount val="1"/>
                <c:pt idx="0">
                  <c:v>RP Stuttgart</c:v>
                </c:pt>
              </c:strCache>
            </c:strRef>
          </c:tx>
          <c:spPr>
            <a:ln w="12700">
              <a:solidFill>
                <a:srgbClr val="339933"/>
              </a:solidFill>
              <a:prstDash val="solid"/>
            </a:ln>
          </c:spPr>
          <c:marker>
            <c:symbol val="triangle"/>
            <c:size val="5"/>
            <c:spPr>
              <a:solidFill>
                <a:srgbClr val="336666"/>
              </a:solidFill>
              <a:ln>
                <a:solidFill>
                  <a:srgbClr val="008000"/>
                </a:solidFill>
                <a:prstDash val="solid"/>
              </a:ln>
            </c:spPr>
          </c:marker>
          <c:cat>
            <c:numRef>
              <c:f>'Preisstatistik (2)'!$AA$10:$BI$10</c:f>
              <c:numCache>
                <c:formatCode>mmm/\ yy</c:formatCode>
                <c:ptCount val="35"/>
                <c:pt idx="0">
                  <c:v>36982</c:v>
                </c:pt>
                <c:pt idx="1">
                  <c:v>37073</c:v>
                </c:pt>
                <c:pt idx="2">
                  <c:v>37165</c:v>
                </c:pt>
                <c:pt idx="3">
                  <c:v>37347</c:v>
                </c:pt>
                <c:pt idx="4">
                  <c:v>37438</c:v>
                </c:pt>
                <c:pt idx="5">
                  <c:v>37559</c:v>
                </c:pt>
                <c:pt idx="6">
                  <c:v>37712</c:v>
                </c:pt>
                <c:pt idx="7">
                  <c:v>37803</c:v>
                </c:pt>
                <c:pt idx="8">
                  <c:v>37895</c:v>
                </c:pt>
                <c:pt idx="9">
                  <c:v>38078</c:v>
                </c:pt>
                <c:pt idx="10">
                  <c:v>38169</c:v>
                </c:pt>
                <c:pt idx="11">
                  <c:v>38261</c:v>
                </c:pt>
                <c:pt idx="12">
                  <c:v>38443</c:v>
                </c:pt>
                <c:pt idx="13">
                  <c:v>38534</c:v>
                </c:pt>
                <c:pt idx="14">
                  <c:v>38626</c:v>
                </c:pt>
                <c:pt idx="15">
                  <c:v>38808</c:v>
                </c:pt>
                <c:pt idx="16">
                  <c:v>38899</c:v>
                </c:pt>
                <c:pt idx="17">
                  <c:v>38991</c:v>
                </c:pt>
                <c:pt idx="18">
                  <c:v>39173</c:v>
                </c:pt>
                <c:pt idx="19">
                  <c:v>39264</c:v>
                </c:pt>
                <c:pt idx="20">
                  <c:v>39388</c:v>
                </c:pt>
                <c:pt idx="21">
                  <c:v>39539</c:v>
                </c:pt>
                <c:pt idx="22">
                  <c:v>39630</c:v>
                </c:pt>
                <c:pt idx="23">
                  <c:v>39753</c:v>
                </c:pt>
                <c:pt idx="24">
                  <c:v>39904</c:v>
                </c:pt>
                <c:pt idx="25">
                  <c:v>39995</c:v>
                </c:pt>
                <c:pt idx="26">
                  <c:v>40118</c:v>
                </c:pt>
                <c:pt idx="27">
                  <c:v>40269</c:v>
                </c:pt>
                <c:pt idx="28">
                  <c:v>40360</c:v>
                </c:pt>
                <c:pt idx="29">
                  <c:v>40484</c:v>
                </c:pt>
                <c:pt idx="30">
                  <c:v>40634</c:v>
                </c:pt>
                <c:pt idx="31">
                  <c:v>40725</c:v>
                </c:pt>
                <c:pt idx="32">
                  <c:v>40849</c:v>
                </c:pt>
                <c:pt idx="33">
                  <c:v>41000</c:v>
                </c:pt>
                <c:pt idx="34">
                  <c:v>41091</c:v>
                </c:pt>
              </c:numCache>
            </c:numRef>
          </c:cat>
          <c:val>
            <c:numRef>
              <c:f>'Preisstatistik (2)'!$Y$12:$AU$12</c:f>
              <c:numCache>
                <c:formatCode>_-* #,##0.00\ [$€-1]_-;\-* #,##0.00\ [$€-1]_-;_-* "-"??\ [$€-1]_-</c:formatCode>
                <c:ptCount val="23"/>
                <c:pt idx="0">
                  <c:v>0.51129188119621849</c:v>
                </c:pt>
                <c:pt idx="1">
                  <c:v>0.66979236436704626</c:v>
                </c:pt>
                <c:pt idx="2">
                  <c:v>0.50106604357229412</c:v>
                </c:pt>
                <c:pt idx="3">
                  <c:v>0.56242106931584035</c:v>
                </c:pt>
                <c:pt idx="4">
                  <c:v>0.66979236436704626</c:v>
                </c:pt>
                <c:pt idx="5">
                  <c:v>0.62</c:v>
                </c:pt>
                <c:pt idx="6">
                  <c:v>0.61</c:v>
                </c:pt>
                <c:pt idx="7">
                  <c:v>0.49</c:v>
                </c:pt>
                <c:pt idx="8">
                  <c:v>0.38</c:v>
                </c:pt>
                <c:pt idx="9">
                  <c:v>0.38</c:v>
                </c:pt>
                <c:pt idx="10">
                  <c:v>0.37</c:v>
                </c:pt>
                <c:pt idx="11">
                  <c:v>0.31</c:v>
                </c:pt>
                <c:pt idx="12">
                  <c:v>0.28999999999999998</c:v>
                </c:pt>
                <c:pt idx="13">
                  <c:v>0.34</c:v>
                </c:pt>
                <c:pt idx="14">
                  <c:v>0.26</c:v>
                </c:pt>
                <c:pt idx="15">
                  <c:v>0.31</c:v>
                </c:pt>
                <c:pt idx="16">
                  <c:v>0.4</c:v>
                </c:pt>
                <c:pt idx="17">
                  <c:v>0.4</c:v>
                </c:pt>
                <c:pt idx="18">
                  <c:v>0.4</c:v>
                </c:pt>
                <c:pt idx="19">
                  <c:v>0.42</c:v>
                </c:pt>
                <c:pt idx="20">
                  <c:v>0.28999999999999998</c:v>
                </c:pt>
              </c:numCache>
            </c:numRef>
          </c:val>
          <c:smooth val="0"/>
          <c:extLst>
            <c:ext xmlns:c16="http://schemas.microsoft.com/office/drawing/2014/chart" uri="{C3380CC4-5D6E-409C-BE32-E72D297353CC}">
              <c16:uniqueId val="{00000005-2F4E-4E38-BFB9-1C7435178222}"/>
            </c:ext>
          </c:extLst>
        </c:ser>
        <c:ser>
          <c:idx val="3"/>
          <c:order val="4"/>
          <c:tx>
            <c:strRef>
              <c:f>'Preisstatistik (2)'!$U$13</c:f>
              <c:strCache>
                <c:ptCount val="1"/>
                <c:pt idx="0">
                  <c:v>RP Karlsruhe</c:v>
                </c:pt>
              </c:strCache>
            </c:strRef>
          </c:tx>
          <c:spPr>
            <a:ln w="12700">
              <a:solidFill>
                <a:srgbClr val="0000FF"/>
              </a:solidFill>
              <a:prstDash val="solid"/>
            </a:ln>
          </c:spPr>
          <c:marker>
            <c:symbol val="x"/>
            <c:size val="5"/>
            <c:spPr>
              <a:solidFill>
                <a:srgbClr val="0000FF"/>
              </a:solidFill>
              <a:ln>
                <a:solidFill>
                  <a:srgbClr val="00FFFF"/>
                </a:solidFill>
                <a:prstDash val="solid"/>
              </a:ln>
            </c:spPr>
          </c:marker>
          <c:cat>
            <c:numRef>
              <c:f>'Preisstatistik (2)'!$AA$10:$BI$10</c:f>
              <c:numCache>
                <c:formatCode>mmm/\ yy</c:formatCode>
                <c:ptCount val="35"/>
                <c:pt idx="0">
                  <c:v>36982</c:v>
                </c:pt>
                <c:pt idx="1">
                  <c:v>37073</c:v>
                </c:pt>
                <c:pt idx="2">
                  <c:v>37165</c:v>
                </c:pt>
                <c:pt idx="3">
                  <c:v>37347</c:v>
                </c:pt>
                <c:pt idx="4">
                  <c:v>37438</c:v>
                </c:pt>
                <c:pt idx="5">
                  <c:v>37559</c:v>
                </c:pt>
                <c:pt idx="6">
                  <c:v>37712</c:v>
                </c:pt>
                <c:pt idx="7">
                  <c:v>37803</c:v>
                </c:pt>
                <c:pt idx="8">
                  <c:v>37895</c:v>
                </c:pt>
                <c:pt idx="9">
                  <c:v>38078</c:v>
                </c:pt>
                <c:pt idx="10">
                  <c:v>38169</c:v>
                </c:pt>
                <c:pt idx="11">
                  <c:v>38261</c:v>
                </c:pt>
                <c:pt idx="12">
                  <c:v>38443</c:v>
                </c:pt>
                <c:pt idx="13">
                  <c:v>38534</c:v>
                </c:pt>
                <c:pt idx="14">
                  <c:v>38626</c:v>
                </c:pt>
                <c:pt idx="15">
                  <c:v>38808</c:v>
                </c:pt>
                <c:pt idx="16">
                  <c:v>38899</c:v>
                </c:pt>
                <c:pt idx="17">
                  <c:v>38991</c:v>
                </c:pt>
                <c:pt idx="18">
                  <c:v>39173</c:v>
                </c:pt>
                <c:pt idx="19">
                  <c:v>39264</c:v>
                </c:pt>
                <c:pt idx="20">
                  <c:v>39388</c:v>
                </c:pt>
                <c:pt idx="21">
                  <c:v>39539</c:v>
                </c:pt>
                <c:pt idx="22">
                  <c:v>39630</c:v>
                </c:pt>
                <c:pt idx="23">
                  <c:v>39753</c:v>
                </c:pt>
                <c:pt idx="24">
                  <c:v>39904</c:v>
                </c:pt>
                <c:pt idx="25">
                  <c:v>39995</c:v>
                </c:pt>
                <c:pt idx="26">
                  <c:v>40118</c:v>
                </c:pt>
                <c:pt idx="27">
                  <c:v>40269</c:v>
                </c:pt>
                <c:pt idx="28">
                  <c:v>40360</c:v>
                </c:pt>
                <c:pt idx="29">
                  <c:v>40484</c:v>
                </c:pt>
                <c:pt idx="30">
                  <c:v>40634</c:v>
                </c:pt>
                <c:pt idx="31">
                  <c:v>40725</c:v>
                </c:pt>
                <c:pt idx="32">
                  <c:v>40849</c:v>
                </c:pt>
                <c:pt idx="33">
                  <c:v>41000</c:v>
                </c:pt>
                <c:pt idx="34">
                  <c:v>41091</c:v>
                </c:pt>
              </c:numCache>
            </c:numRef>
          </c:cat>
          <c:val>
            <c:numRef>
              <c:f>'Preisstatistik (2)'!$Y$13:$AU$13</c:f>
              <c:numCache>
                <c:formatCode>_-* #,##0.00\ [$€-1]_-;\-* #,##0.00\ [$€-1]_-;_-* "-"??\ [$€-1]_-</c:formatCode>
                <c:ptCount val="23"/>
                <c:pt idx="0">
                  <c:v>0.48061436832444537</c:v>
                </c:pt>
                <c:pt idx="1">
                  <c:v>0.51129188119621849</c:v>
                </c:pt>
                <c:pt idx="2">
                  <c:v>0.5061789623842563</c:v>
                </c:pt>
                <c:pt idx="3">
                  <c:v>0.470388530700521</c:v>
                </c:pt>
                <c:pt idx="4">
                  <c:v>0.54196939406799161</c:v>
                </c:pt>
                <c:pt idx="5">
                  <c:v>0.51</c:v>
                </c:pt>
                <c:pt idx="6">
                  <c:v>0.51</c:v>
                </c:pt>
                <c:pt idx="7">
                  <c:v>0.45</c:v>
                </c:pt>
                <c:pt idx="8">
                  <c:v>0.28999999999999998</c:v>
                </c:pt>
                <c:pt idx="9">
                  <c:v>0.14000000000000001</c:v>
                </c:pt>
                <c:pt idx="10">
                  <c:v>0.17</c:v>
                </c:pt>
                <c:pt idx="11">
                  <c:v>0.22</c:v>
                </c:pt>
                <c:pt idx="12">
                  <c:v>0.25</c:v>
                </c:pt>
                <c:pt idx="13">
                  <c:v>0.24</c:v>
                </c:pt>
                <c:pt idx="14">
                  <c:v>0.19</c:v>
                </c:pt>
                <c:pt idx="15">
                  <c:v>0.26</c:v>
                </c:pt>
                <c:pt idx="16">
                  <c:v>0.34</c:v>
                </c:pt>
                <c:pt idx="17">
                  <c:v>0.39</c:v>
                </c:pt>
                <c:pt idx="18">
                  <c:v>0.39</c:v>
                </c:pt>
                <c:pt idx="19">
                  <c:v>0.41</c:v>
                </c:pt>
                <c:pt idx="20">
                  <c:v>0.25</c:v>
                </c:pt>
              </c:numCache>
            </c:numRef>
          </c:val>
          <c:smooth val="0"/>
          <c:extLst>
            <c:ext xmlns:c16="http://schemas.microsoft.com/office/drawing/2014/chart" uri="{C3380CC4-5D6E-409C-BE32-E72D297353CC}">
              <c16:uniqueId val="{00000006-2F4E-4E38-BFB9-1C7435178222}"/>
            </c:ext>
          </c:extLst>
        </c:ser>
        <c:dLbls>
          <c:showLegendKey val="0"/>
          <c:showVal val="0"/>
          <c:showCatName val="0"/>
          <c:showSerName val="0"/>
          <c:showPercent val="0"/>
          <c:showBubbleSize val="0"/>
        </c:dLbls>
        <c:marker val="1"/>
        <c:smooth val="0"/>
        <c:axId val="173845120"/>
        <c:axId val="173863680"/>
      </c:lineChart>
      <c:catAx>
        <c:axId val="173845120"/>
        <c:scaling>
          <c:orientation val="minMax"/>
        </c:scaling>
        <c:delete val="0"/>
        <c:axPos val="b"/>
        <c:numFmt formatCode="mmm/\ yy" sourceLinked="1"/>
        <c:majorTickMark val="out"/>
        <c:minorTickMark val="none"/>
        <c:tickLblPos val="nextTo"/>
        <c:spPr>
          <a:ln w="3175">
            <a:solidFill>
              <a:srgbClr val="000000"/>
            </a:solidFill>
            <a:prstDash val="solid"/>
          </a:ln>
        </c:spPr>
        <c:txPr>
          <a:bodyPr rot="-2700000" vert="horz"/>
          <a:lstStyle/>
          <a:p>
            <a:pPr>
              <a:defRPr sz="1525" b="1" i="0" u="none" strike="noStrike" baseline="0">
                <a:solidFill>
                  <a:srgbClr val="000000"/>
                </a:solidFill>
                <a:latin typeface="Arial"/>
                <a:ea typeface="Arial"/>
                <a:cs typeface="Arial"/>
              </a:defRPr>
            </a:pPr>
            <a:endParaRPr lang="de-DE"/>
          </a:p>
        </c:txPr>
        <c:crossAx val="173863680"/>
        <c:crosses val="autoZero"/>
        <c:auto val="0"/>
        <c:lblAlgn val="ctr"/>
        <c:lblOffset val="100"/>
        <c:tickLblSkip val="1"/>
        <c:tickMarkSkip val="1"/>
        <c:noMultiLvlLbl val="0"/>
      </c:catAx>
      <c:valAx>
        <c:axId val="173863680"/>
        <c:scaling>
          <c:orientation val="minMax"/>
        </c:scaling>
        <c:delete val="0"/>
        <c:axPos val="l"/>
        <c:majorGridlines>
          <c:spPr>
            <a:ln w="3175">
              <a:solidFill>
                <a:srgbClr val="000000"/>
              </a:solidFill>
              <a:prstDash val="solid"/>
            </a:ln>
          </c:spPr>
        </c:majorGridlines>
        <c:title>
          <c:tx>
            <c:rich>
              <a:bodyPr rot="0" vert="horz"/>
              <a:lstStyle/>
              <a:p>
                <a:pPr algn="ctr">
                  <a:defRPr sz="1825" b="1" i="0" u="none" strike="noStrike" baseline="0">
                    <a:solidFill>
                      <a:srgbClr val="000000"/>
                    </a:solidFill>
                    <a:latin typeface="Arial"/>
                    <a:ea typeface="Arial"/>
                    <a:cs typeface="Arial"/>
                  </a:defRPr>
                </a:pPr>
                <a:r>
                  <a:rPr lang="de-DE"/>
                  <a:t>€/kg</a:t>
                </a:r>
              </a:p>
            </c:rich>
          </c:tx>
          <c:layout>
            <c:manualLayout>
              <c:xMode val="edge"/>
              <c:yMode val="edge"/>
              <c:x val="2.4209849407763582E-2"/>
              <c:y val="0.10443039986243134"/>
            </c:manualLayout>
          </c:layout>
          <c:overlay val="0"/>
          <c:spPr>
            <a:noFill/>
            <a:ln w="25400">
              <a:noFill/>
            </a:ln>
          </c:spPr>
        </c:title>
        <c:numFmt formatCode="_-* #,##0.00\ [$€-1]_-;\-* #,##0.00\ [$€-1]_-;_-* &quot;-&quot;??\ [$€-1]_-" sourceLinked="1"/>
        <c:majorTickMark val="out"/>
        <c:minorTickMark val="none"/>
        <c:tickLblPos val="nextTo"/>
        <c:spPr>
          <a:ln w="3175">
            <a:solidFill>
              <a:srgbClr val="000000"/>
            </a:solidFill>
            <a:prstDash val="solid"/>
          </a:ln>
        </c:spPr>
        <c:txPr>
          <a:bodyPr rot="0" vert="horz"/>
          <a:lstStyle/>
          <a:p>
            <a:pPr>
              <a:defRPr sz="2025" b="0" i="0" u="none" strike="noStrike" baseline="0">
                <a:solidFill>
                  <a:srgbClr val="000000"/>
                </a:solidFill>
                <a:latin typeface="Arial"/>
                <a:ea typeface="Arial"/>
                <a:cs typeface="Arial"/>
              </a:defRPr>
            </a:pPr>
            <a:endParaRPr lang="de-DE"/>
          </a:p>
        </c:txPr>
        <c:crossAx val="173845120"/>
        <c:crosses val="autoZero"/>
        <c:crossBetween val="between"/>
      </c:valAx>
      <c:spPr>
        <a:solidFill>
          <a:srgbClr val="FFFFFF"/>
        </a:solidFill>
        <a:ln w="12700">
          <a:solidFill>
            <a:srgbClr val="808080"/>
          </a:solidFill>
          <a:prstDash val="solid"/>
        </a:ln>
      </c:spPr>
    </c:plotArea>
    <c:legend>
      <c:legendPos val="r"/>
      <c:legendEntry>
        <c:idx val="0"/>
        <c:txPr>
          <a:bodyPr/>
          <a:lstStyle/>
          <a:p>
            <a:pPr>
              <a:defRPr sz="715" b="1" i="0" u="none" strike="noStrike" baseline="0">
                <a:solidFill>
                  <a:srgbClr val="000000"/>
                </a:solidFill>
                <a:latin typeface="Arial"/>
                <a:ea typeface="Arial"/>
                <a:cs typeface="Arial"/>
              </a:defRPr>
            </a:pPr>
            <a:endParaRPr lang="de-DE"/>
          </a:p>
        </c:txPr>
      </c:legendEntry>
      <c:layout>
        <c:manualLayout>
          <c:xMode val="edge"/>
          <c:yMode val="edge"/>
          <c:x val="0.69941197524904031"/>
          <c:y val="0.10966817918584917"/>
          <c:w val="0.2770589248723484"/>
          <c:h val="0.3333335006103940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trlProps/ctrlProp1.xml><?xml version="1.0" encoding="utf-8"?>
<formControlPr xmlns="http://schemas.microsoft.com/office/spreadsheetml/2009/9/main" objectType="Drop" dropStyle="combo" dx="17" fmlaLink="$AH$5" fmlaRange="$AF$6:$AF$11" noThreeD="1" sel="5" val="0"/>
</file>

<file path=xl/ctrlProps/ctrlProp10.xml><?xml version="1.0" encoding="utf-8"?>
<formControlPr xmlns="http://schemas.microsoft.com/office/spreadsheetml/2009/9/main" objectType="Spin" dx="15" fmlaLink="$AB$26" inc="10" max="500" min="300" page="10" val="420"/>
</file>

<file path=xl/ctrlProps/ctrlProp11.xml><?xml version="1.0" encoding="utf-8"?>
<formControlPr xmlns="http://schemas.microsoft.com/office/spreadsheetml/2009/9/main" objectType="Spin" dx="15" fmlaLink="$J18" max="30" min="1" page="10" val="10"/>
</file>

<file path=xl/ctrlProps/ctrlProp12.xml><?xml version="1.0" encoding="utf-8"?>
<formControlPr xmlns="http://schemas.microsoft.com/office/spreadsheetml/2009/9/main" objectType="Drop" dropStyle="combo" dx="17" fmlaLink="$Q$21" fmlaRange="$R$23:$R$24" noThreeD="1" sel="2" val="0"/>
</file>

<file path=xl/ctrlProps/ctrlProp2.xml><?xml version="1.0" encoding="utf-8"?>
<formControlPr xmlns="http://schemas.microsoft.com/office/spreadsheetml/2009/9/main" objectType="Drop" dropStyle="combo" dx="17" fmlaLink="$AH$13" fmlaRange="$AF$14:$AF$15" noThreeD="1" sel="1" val="0"/>
</file>

<file path=xl/ctrlProps/ctrlProp3.xml><?xml version="1.0" encoding="utf-8"?>
<formControlPr xmlns="http://schemas.microsoft.com/office/spreadsheetml/2009/9/main" objectType="Drop" dropStyle="combo" dx="17" fmlaLink="$R$56" fmlaRange="Preise!$D$62:$D$68" noThreeD="1" sel="5" val="0"/>
</file>

<file path=xl/ctrlProps/ctrlProp4.xml><?xml version="1.0" encoding="utf-8"?>
<formControlPr xmlns="http://schemas.microsoft.com/office/spreadsheetml/2009/9/main" objectType="Drop" dropStyle="combo" dx="17" fmlaLink="$R$56" fmlaRange="Preise!$D$62:$D$68" noThreeD="1" sel="5" val="0"/>
</file>

<file path=xl/ctrlProps/ctrlProp5.xml><?xml version="1.0" encoding="utf-8"?>
<formControlPr xmlns="http://schemas.microsoft.com/office/spreadsheetml/2009/9/main" objectType="Drop" dropStyle="combo" dx="17" fmlaLink="$R$56" fmlaRange="Preise!$D$62:$D$68" noThreeD="1" sel="4" val="0"/>
</file>

<file path=xl/ctrlProps/ctrlProp6.xml><?xml version="1.0" encoding="utf-8"?>
<formControlPr xmlns="http://schemas.microsoft.com/office/spreadsheetml/2009/9/main" objectType="Drop" dropStyle="combo" dx="17" fmlaLink="$S$41" fmlaRange="Preise!$D$62:$D$68" noThreeD="1" sel="7" val="0"/>
</file>

<file path=xl/ctrlProps/ctrlProp7.xml><?xml version="1.0" encoding="utf-8"?>
<formControlPr xmlns="http://schemas.microsoft.com/office/spreadsheetml/2009/9/main" objectType="Drop" dropStyle="combo" dx="17" fmlaLink="$S$44" fmlaRange="Preise!$D$62:$D$68" noThreeD="1" sel="1" val="0"/>
</file>

<file path=xl/ctrlProps/ctrlProp8.xml><?xml version="1.0" encoding="utf-8"?>
<formControlPr xmlns="http://schemas.microsoft.com/office/spreadsheetml/2009/9/main" objectType="Drop" dropStyle="combo" dx="17" fmlaLink="$S$47" fmlaRange="Preise!$D$62:$D$68" noThreeD="1" sel="5" val="0"/>
</file>

<file path=xl/ctrlProps/ctrlProp9.xml><?xml version="1.0" encoding="utf-8"?>
<formControlPr xmlns="http://schemas.microsoft.com/office/spreadsheetml/2009/9/main" objectType="Spin" dx="15" fmlaLink="$G$8" inc="50" max="800" min="450" page="10" val="65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hyperlink" Target="#Inhalt!A31"/><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hyperlink" Target="#Inhalt!A31"/></Relationships>
</file>

<file path=xl/drawings/_rels/drawing13.xml.rels><?xml version="1.0" encoding="UTF-8" standalone="yes"?>
<Relationships xmlns="http://schemas.openxmlformats.org/package/2006/relationships"><Relationship Id="rId1" Type="http://schemas.openxmlformats.org/officeDocument/2006/relationships/hyperlink" Target="#Inhalt!A31"/></Relationships>
</file>

<file path=xl/drawings/_rels/drawing14.xml.rels><?xml version="1.0" encoding="UTF-8" standalone="yes"?>
<Relationships xmlns="http://schemas.openxmlformats.org/package/2006/relationships"><Relationship Id="rId1" Type="http://schemas.openxmlformats.org/officeDocument/2006/relationships/hyperlink" Target="#Inhalt!A31"/></Relationships>
</file>

<file path=xl/drawings/_rels/drawing15.xml.rels><?xml version="1.0" encoding="UTF-8" standalone="yes"?>
<Relationships xmlns="http://schemas.openxmlformats.org/package/2006/relationships"><Relationship Id="rId1" Type="http://schemas.openxmlformats.org/officeDocument/2006/relationships/hyperlink" Target="#Inhalt!A31"/></Relationships>
</file>

<file path=xl/drawings/_rels/drawing16.xml.rels><?xml version="1.0" encoding="UTF-8" standalone="yes"?>
<Relationships xmlns="http://schemas.openxmlformats.org/package/2006/relationships"><Relationship Id="rId1" Type="http://schemas.openxmlformats.org/officeDocument/2006/relationships/hyperlink" Target="#Inhalt!A31"/></Relationships>
</file>

<file path=xl/drawings/_rels/drawing17.xml.rels><?xml version="1.0" encoding="UTF-8" standalone="yes"?>
<Relationships xmlns="http://schemas.openxmlformats.org/package/2006/relationships"><Relationship Id="rId1" Type="http://schemas.openxmlformats.org/officeDocument/2006/relationships/hyperlink" Target="#Inhalt!A31"/></Relationships>
</file>

<file path=xl/drawings/_rels/drawing18.xml.rels><?xml version="1.0" encoding="UTF-8" standalone="yes"?>
<Relationships xmlns="http://schemas.openxmlformats.org/package/2006/relationships"><Relationship Id="rId1" Type="http://schemas.openxmlformats.org/officeDocument/2006/relationships/hyperlink" Target="#Inhalt!A31"/></Relationships>
</file>

<file path=xl/drawings/_rels/drawing19.xml.rels><?xml version="1.0" encoding="UTF-8" standalone="yes"?>
<Relationships xmlns="http://schemas.openxmlformats.org/package/2006/relationships"><Relationship Id="rId1" Type="http://schemas.openxmlformats.org/officeDocument/2006/relationships/hyperlink" Target="#Inhalt!A31"/></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hyperlink" Target="#Inhalt!A31"/></Relationships>
</file>

<file path=xl/drawings/_rels/drawing21.xml.rels><?xml version="1.0" encoding="UTF-8" standalone="yes"?>
<Relationships xmlns="http://schemas.openxmlformats.org/package/2006/relationships"><Relationship Id="rId1" Type="http://schemas.openxmlformats.org/officeDocument/2006/relationships/hyperlink" Target="#Inhalt!A31"/></Relationships>
</file>

<file path=xl/drawings/_rels/drawing22.xml.rels><?xml version="1.0" encoding="UTF-8" standalone="yes"?>
<Relationships xmlns="http://schemas.openxmlformats.org/package/2006/relationships"><Relationship Id="rId3" Type="http://schemas.openxmlformats.org/officeDocument/2006/relationships/hyperlink" Target="#Inhalt!A31"/><Relationship Id="rId2" Type="http://schemas.openxmlformats.org/officeDocument/2006/relationships/hyperlink" Target="#'F&#228;rse(a)'!E28"/><Relationship Id="rId1" Type="http://schemas.openxmlformats.org/officeDocument/2006/relationships/hyperlink" Target="#'F&#228;rse(a)'!I72"/></Relationships>
</file>

<file path=xl/drawings/_rels/drawing23.xml.rels><?xml version="1.0" encoding="UTF-8" standalone="yes"?>
<Relationships xmlns="http://schemas.openxmlformats.org/package/2006/relationships"><Relationship Id="rId1" Type="http://schemas.openxmlformats.org/officeDocument/2006/relationships/hyperlink" Target="#Inhalt!A31"/></Relationships>
</file>

<file path=xl/drawings/_rels/drawing24.xml.rels><?xml version="1.0" encoding="UTF-8" standalone="yes"?>
<Relationships xmlns="http://schemas.openxmlformats.org/package/2006/relationships"><Relationship Id="rId1" Type="http://schemas.openxmlformats.org/officeDocument/2006/relationships/hyperlink" Target="#Inhalt!A31"/></Relationships>
</file>

<file path=xl/drawings/_rels/drawing2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hyperlink" Target="#Inhalt!A31"/><Relationship Id="rId5" Type="http://schemas.openxmlformats.org/officeDocument/2006/relationships/chart" Target="../charts/chart8.xml"/><Relationship Id="rId4"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Preisstatistik!A20:A40"/><Relationship Id="rId7" Type="http://schemas.openxmlformats.org/officeDocument/2006/relationships/image" Target="../media/image13.png"/><Relationship Id="rId2" Type="http://schemas.openxmlformats.org/officeDocument/2006/relationships/hyperlink" Target="#Preisstatistik!A2:A20"/><Relationship Id="rId1" Type="http://schemas.openxmlformats.org/officeDocument/2006/relationships/hyperlink" Target="#Inhalt!A31"/><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hyperlink" Target="#Preisstatistik!A40:A58"/></Relationships>
</file>

<file path=xl/drawings/_rels/drawing27.xml.rels><?xml version="1.0" encoding="UTF-8" standalone="yes"?>
<Relationships xmlns="http://schemas.openxmlformats.org/package/2006/relationships"><Relationship Id="rId2" Type="http://schemas.openxmlformats.org/officeDocument/2006/relationships/hyperlink" Target="#Inhalt!A31"/><Relationship Id="rId1" Type="http://schemas.openxmlformats.org/officeDocument/2006/relationships/chart" Target="../charts/chart9.xml"/></Relationships>
</file>

<file path=xl/drawings/_rels/drawing2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Inhalt!A31"/><Relationship Id="rId7" Type="http://schemas.openxmlformats.org/officeDocument/2006/relationships/chart" Target="../charts/chart15.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hyperlink" Target="#Strukturentwicklung!A1"/><Relationship Id="rId1" Type="http://schemas.openxmlformats.org/officeDocument/2006/relationships/hyperlink" Target="#Inhalt!A31"/><Relationship Id="rId6" Type="http://schemas.openxmlformats.org/officeDocument/2006/relationships/hyperlink" Target="#Kalkulationshilfen!A1"/><Relationship Id="rId5" Type="http://schemas.openxmlformats.org/officeDocument/2006/relationships/image" Target="../media/image4.png"/><Relationship Id="rId4" Type="http://schemas.openxmlformats.org/officeDocument/2006/relationships/hyperlink" Target="#Preisstatistik!A1"/></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Inhalt!A31"/><Relationship Id="rId5" Type="http://schemas.openxmlformats.org/officeDocument/2006/relationships/image" Target="../media/image10.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hyperlink" Target="#Inhalt!A31"/></Relationships>
</file>

<file path=xl/drawings/_rels/drawing7.xml.rels><?xml version="1.0" encoding="UTF-8" standalone="yes"?>
<Relationships xmlns="http://schemas.openxmlformats.org/package/2006/relationships"><Relationship Id="rId1" Type="http://schemas.openxmlformats.org/officeDocument/2006/relationships/hyperlink" Target="#Inhalt!A31"/></Relationships>
</file>

<file path=xl/drawings/_rels/drawing8.xml.rels><?xml version="1.0" encoding="UTF-8" standalone="yes"?>
<Relationships xmlns="http://schemas.openxmlformats.org/package/2006/relationships"><Relationship Id="rId2" Type="http://schemas.openxmlformats.org/officeDocument/2006/relationships/hyperlink" Target="#'DB-&#220;bersicht'!V2:X41"/><Relationship Id="rId1" Type="http://schemas.openxmlformats.org/officeDocument/2006/relationships/hyperlink" Target="#Inhalt!A31"/></Relationships>
</file>

<file path=xl/drawings/_rels/drawing9.xml.rels><?xml version="1.0" encoding="UTF-8" standalone="yes"?>
<Relationships xmlns="http://schemas.openxmlformats.org/package/2006/relationships"><Relationship Id="rId2" Type="http://schemas.openxmlformats.org/officeDocument/2006/relationships/hyperlink" Target="#Inhalt!A31"/><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4</xdr:col>
      <xdr:colOff>129396</xdr:colOff>
      <xdr:row>4</xdr:row>
      <xdr:rowOff>8626</xdr:rowOff>
    </xdr:from>
    <xdr:to>
      <xdr:col>8</xdr:col>
      <xdr:colOff>655608</xdr:colOff>
      <xdr:row>16</xdr:row>
      <xdr:rowOff>112143</xdr:rowOff>
    </xdr:to>
    <xdr:graphicFrame macro="">
      <xdr:nvGraphicFramePr>
        <xdr:cNvPr id="52138"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0.12071</cdr:x>
      <cdr:y>0.92017</cdr:y>
    </cdr:from>
    <cdr:to>
      <cdr:x>0.30134</cdr:x>
      <cdr:y>0.98189</cdr:y>
    </cdr:to>
    <cdr:sp macro="" textlink="">
      <cdr:nvSpPr>
        <cdr:cNvPr id="48129" name="Text 1"/>
        <cdr:cNvSpPr txBox="1">
          <a:spLocks xmlns:a="http://schemas.openxmlformats.org/drawingml/2006/main" noChangeArrowheads="1"/>
        </cdr:cNvSpPr>
      </cdr:nvSpPr>
      <cdr:spPr bwMode="auto">
        <a:xfrm xmlns:a="http://schemas.openxmlformats.org/drawingml/2006/main">
          <a:off x="1009014" y="5342119"/>
          <a:ext cx="1509899" cy="35832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000" b="1" i="0" u="none" strike="noStrike" baseline="0">
              <a:solidFill>
                <a:srgbClr val="000000"/>
              </a:solidFill>
              <a:latin typeface="Arial"/>
              <a:cs typeface="Arial"/>
            </a:rPr>
            <a:t>1) nach Grundfuttervollkosten</a:t>
          </a:r>
        </a:p>
      </cdr:txBody>
    </cdr:sp>
  </cdr:relSizeAnchor>
  <cdr:relSizeAnchor xmlns:cdr="http://schemas.openxmlformats.org/drawingml/2006/chartDrawing">
    <cdr:from>
      <cdr:x>0.90093</cdr:x>
      <cdr:y>0.0208</cdr:y>
    </cdr:from>
    <cdr:to>
      <cdr:x>0.98968</cdr:x>
      <cdr:y>0.05052</cdr:y>
    </cdr:to>
    <cdr:sp macro="" textlink="'Grafik-DB'!$M$2">
      <cdr:nvSpPr>
        <cdr:cNvPr id="2" name="Abgerundetes Rechteck 1"/>
        <cdr:cNvSpPr/>
      </cdr:nvSpPr>
      <cdr:spPr bwMode="auto">
        <a:xfrm xmlns:a="http://schemas.openxmlformats.org/drawingml/2006/main">
          <a:off x="7530861" y="120771"/>
          <a:ext cx="741872" cy="172528"/>
        </a:xfrm>
        <a:prstGeom xmlns:a="http://schemas.openxmlformats.org/drawingml/2006/main" prst="roundRect">
          <a:avLst/>
        </a:prstGeom>
        <a:solidFill xmlns:a="http://schemas.openxmlformats.org/drawingml/2006/main">
          <a:srgbClr val="FFE0C1"/>
        </a:solidFill>
        <a:ln xmlns:a="http://schemas.openxmlformats.org/drawingml/2006/main" w="12700" cap="flat" cmpd="sng" algn="ctr">
          <a:solidFill>
            <a:srgbClr val="060606">
              <a:alpha val="50000"/>
            </a:srgbClr>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upright="1"/>
        <a:lstStyle xmlns:a="http://schemas.openxmlformats.org/drawingml/2006/main"/>
        <a:p xmlns:a="http://schemas.openxmlformats.org/drawingml/2006/main">
          <a:fld id="{6E79B6C8-198B-4F7B-A41C-D38E2F1E6408}" type="TxLink">
            <a:rPr lang="en-US" sz="1000" b="1" i="0" u="none" strike="noStrike">
              <a:solidFill>
                <a:srgbClr val="000000"/>
              </a:solidFill>
              <a:latin typeface="Arial"/>
              <a:cs typeface="Arial"/>
            </a:rPr>
            <a:pPr/>
            <a:t>mit Mwst.</a:t>
          </a:fld>
          <a:endParaRPr lang="de-DE" b="1"/>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94891</xdr:colOff>
      <xdr:row>1</xdr:row>
      <xdr:rowOff>51758</xdr:rowOff>
    </xdr:from>
    <xdr:to>
      <xdr:col>11</xdr:col>
      <xdr:colOff>923026</xdr:colOff>
      <xdr:row>38</xdr:row>
      <xdr:rowOff>34506</xdr:rowOff>
    </xdr:to>
    <xdr:graphicFrame macro="">
      <xdr:nvGraphicFramePr>
        <xdr:cNvPr id="11455888"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561975</xdr:colOff>
      <xdr:row>0</xdr:row>
      <xdr:rowOff>0</xdr:rowOff>
    </xdr:from>
    <xdr:to>
      <xdr:col>4</xdr:col>
      <xdr:colOff>381000</xdr:colOff>
      <xdr:row>0</xdr:row>
      <xdr:rowOff>219075</xdr:rowOff>
    </xdr:to>
    <xdr:sp macro="" textlink="">
      <xdr:nvSpPr>
        <xdr:cNvPr id="49154" name="Rectangle 2">
          <a:hlinkClick xmlns:r="http://schemas.openxmlformats.org/officeDocument/2006/relationships" r:id="rId2"/>
        </xdr:cNvPr>
        <xdr:cNvSpPr>
          <a:spLocks noChangeArrowheads="1"/>
        </xdr:cNvSpPr>
      </xdr:nvSpPr>
      <xdr:spPr bwMode="auto">
        <a:xfrm>
          <a:off x="723900" y="0"/>
          <a:ext cx="2105025" cy="219075"/>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2</xdr:col>
      <xdr:colOff>28575</xdr:colOff>
      <xdr:row>0</xdr:row>
      <xdr:rowOff>0</xdr:rowOff>
    </xdr:from>
    <xdr:to>
      <xdr:col>5</xdr:col>
      <xdr:colOff>199120</xdr:colOff>
      <xdr:row>0</xdr:row>
      <xdr:rowOff>220133</xdr:rowOff>
    </xdr:to>
    <xdr:sp macro="" textlink="">
      <xdr:nvSpPr>
        <xdr:cNvPr id="149506" name="Rectangle 1026">
          <a:hlinkClick xmlns:r="http://schemas.openxmlformats.org/officeDocument/2006/relationships" r:id="rId1"/>
        </xdr:cNvPr>
        <xdr:cNvSpPr>
          <a:spLocks noChangeArrowheads="1"/>
        </xdr:cNvSpPr>
      </xdr:nvSpPr>
      <xdr:spPr bwMode="auto">
        <a:xfrm>
          <a:off x="923925" y="0"/>
          <a:ext cx="2562225" cy="2286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twoCellAnchor>
    <xdr:from>
      <xdr:col>1</xdr:col>
      <xdr:colOff>86264</xdr:colOff>
      <xdr:row>1</xdr:row>
      <xdr:rowOff>103517</xdr:rowOff>
    </xdr:from>
    <xdr:to>
      <xdr:col>12</xdr:col>
      <xdr:colOff>94891</xdr:colOff>
      <xdr:row>39</xdr:row>
      <xdr:rowOff>69011</xdr:rowOff>
    </xdr:to>
    <xdr:graphicFrame macro="">
      <xdr:nvGraphicFramePr>
        <xdr:cNvPr id="11457937" name="Diagramm 10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793631</xdr:colOff>
      <xdr:row>2</xdr:row>
      <xdr:rowOff>103517</xdr:rowOff>
    </xdr:from>
    <xdr:to>
      <xdr:col>11</xdr:col>
      <xdr:colOff>621103</xdr:colOff>
      <xdr:row>4</xdr:row>
      <xdr:rowOff>25879</xdr:rowOff>
    </xdr:to>
    <xdr:sp macro="" textlink="$O$4">
      <xdr:nvSpPr>
        <xdr:cNvPr id="2" name="Abgerundetes Rechteck 1"/>
        <xdr:cNvSpPr/>
      </xdr:nvSpPr>
      <xdr:spPr bwMode="auto">
        <a:xfrm>
          <a:off x="8341744" y="465826"/>
          <a:ext cx="655608" cy="181155"/>
        </a:xfrm>
        <a:prstGeom prst="roundRect">
          <a:avLst/>
        </a:prstGeom>
        <a:solidFill>
          <a:srgbClr val="FFE0C1"/>
        </a:solidFill>
        <a:ln w="12700" cap="flat" cmpd="sng" algn="ctr">
          <a:solidFill>
            <a:srgbClr val="060606">
              <a:alpha val="50000"/>
            </a:srgb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fld id="{50F99849-8223-4137-A2F0-A8377A13A240}" type="TxLink">
            <a:rPr lang="en-US" sz="1000" b="1" i="0" u="none" strike="noStrike">
              <a:solidFill>
                <a:srgbClr val="000000"/>
              </a:solidFill>
              <a:latin typeface="Arial"/>
              <a:cs typeface="Arial"/>
            </a:rPr>
            <a:pPr algn="l"/>
            <a:t>mit Mwst.</a:t>
          </a:fld>
          <a:endParaRPr lang="de-DE"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9525</xdr:colOff>
      <xdr:row>0</xdr:row>
      <xdr:rowOff>38999</xdr:rowOff>
    </xdr:from>
    <xdr:to>
      <xdr:col>5</xdr:col>
      <xdr:colOff>550629</xdr:colOff>
      <xdr:row>0</xdr:row>
      <xdr:rowOff>238158</xdr:rowOff>
    </xdr:to>
    <xdr:sp macro="" textlink="">
      <xdr:nvSpPr>
        <xdr:cNvPr id="9224" name="Rectangle 8">
          <a:hlinkClick xmlns:r="http://schemas.openxmlformats.org/officeDocument/2006/relationships" r:id="rId1"/>
        </xdr:cNvPr>
        <xdr:cNvSpPr>
          <a:spLocks noChangeArrowheads="1"/>
        </xdr:cNvSpPr>
      </xdr:nvSpPr>
      <xdr:spPr bwMode="auto">
        <a:xfrm>
          <a:off x="171450" y="47625"/>
          <a:ext cx="166687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0</xdr:colOff>
          <xdr:row>55</xdr:row>
          <xdr:rowOff>9525</xdr:rowOff>
        </xdr:from>
        <xdr:to>
          <xdr:col>5</xdr:col>
          <xdr:colOff>200025</xdr:colOff>
          <xdr:row>56</xdr:row>
          <xdr:rowOff>0</xdr:rowOff>
        </xdr:to>
        <xdr:sp macro="" textlink="">
          <xdr:nvSpPr>
            <xdr:cNvPr id="9229" name="Drop Down 13" hidden="1">
              <a:extLst>
                <a:ext uri="{63B3BB69-23CF-44E3-9099-C40C66FF867C}">
                  <a14:compatExt spid="_x0000_s9229"/>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2</xdr:col>
      <xdr:colOff>899</xdr:colOff>
      <xdr:row>0</xdr:row>
      <xdr:rowOff>38999</xdr:rowOff>
    </xdr:from>
    <xdr:to>
      <xdr:col>5</xdr:col>
      <xdr:colOff>1014844</xdr:colOff>
      <xdr:row>0</xdr:row>
      <xdr:rowOff>238158</xdr:rowOff>
    </xdr:to>
    <xdr:sp macro="" textlink="">
      <xdr:nvSpPr>
        <xdr:cNvPr id="44033" name="Rectangle 1">
          <a:hlinkClick xmlns:r="http://schemas.openxmlformats.org/officeDocument/2006/relationships" r:id="rId1"/>
        </xdr:cNvPr>
        <xdr:cNvSpPr>
          <a:spLocks noChangeArrowheads="1"/>
        </xdr:cNvSpPr>
      </xdr:nvSpPr>
      <xdr:spPr bwMode="auto">
        <a:xfrm>
          <a:off x="457200" y="47625"/>
          <a:ext cx="1714500"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36</xdr:row>
      <xdr:rowOff>0</xdr:rowOff>
    </xdr:from>
    <xdr:to>
      <xdr:col>2</xdr:col>
      <xdr:colOff>0</xdr:colOff>
      <xdr:row>36</xdr:row>
      <xdr:rowOff>0</xdr:rowOff>
    </xdr:to>
    <xdr:sp macro="" textlink="">
      <xdr:nvSpPr>
        <xdr:cNvPr id="11460384" name="Line 1"/>
        <xdr:cNvSpPr>
          <a:spLocks noChangeShapeType="1"/>
        </xdr:cNvSpPr>
      </xdr:nvSpPr>
      <xdr:spPr bwMode="auto">
        <a:xfrm>
          <a:off x="250166" y="1268083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11460385" name="Line 4"/>
        <xdr:cNvSpPr>
          <a:spLocks noChangeShapeType="1"/>
        </xdr:cNvSpPr>
      </xdr:nvSpPr>
      <xdr:spPr bwMode="auto">
        <a:xfrm>
          <a:off x="250166" y="1268083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11460386" name="Line 5"/>
        <xdr:cNvSpPr>
          <a:spLocks noChangeShapeType="1"/>
        </xdr:cNvSpPr>
      </xdr:nvSpPr>
      <xdr:spPr bwMode="auto">
        <a:xfrm>
          <a:off x="250166" y="1268083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132451</xdr:colOff>
      <xdr:row>0</xdr:row>
      <xdr:rowOff>38999</xdr:rowOff>
    </xdr:from>
    <xdr:to>
      <xdr:col>5</xdr:col>
      <xdr:colOff>122926</xdr:colOff>
      <xdr:row>0</xdr:row>
      <xdr:rowOff>238158</xdr:rowOff>
    </xdr:to>
    <xdr:sp macro="" textlink="">
      <xdr:nvSpPr>
        <xdr:cNvPr id="6150" name="Rectangle 6">
          <a:hlinkClick xmlns:r="http://schemas.openxmlformats.org/officeDocument/2006/relationships" r:id="rId1"/>
        </xdr:cNvPr>
        <xdr:cNvSpPr>
          <a:spLocks noChangeArrowheads="1"/>
        </xdr:cNvSpPr>
      </xdr:nvSpPr>
      <xdr:spPr bwMode="auto">
        <a:xfrm>
          <a:off x="361950" y="47625"/>
          <a:ext cx="157162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0</xdr:row>
      <xdr:rowOff>38999</xdr:rowOff>
    </xdr:from>
    <xdr:to>
      <xdr:col>5</xdr:col>
      <xdr:colOff>550629</xdr:colOff>
      <xdr:row>0</xdr:row>
      <xdr:rowOff>238158</xdr:rowOff>
    </xdr:to>
    <xdr:sp macro="" textlink="">
      <xdr:nvSpPr>
        <xdr:cNvPr id="11266" name="Rectangle 2">
          <a:hlinkClick xmlns:r="http://schemas.openxmlformats.org/officeDocument/2006/relationships" r:id="rId1"/>
        </xdr:cNvPr>
        <xdr:cNvSpPr>
          <a:spLocks noChangeArrowheads="1"/>
        </xdr:cNvSpPr>
      </xdr:nvSpPr>
      <xdr:spPr bwMode="auto">
        <a:xfrm>
          <a:off x="152400" y="47625"/>
          <a:ext cx="166687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3</xdr:col>
          <xdr:colOff>9525</xdr:colOff>
          <xdr:row>55</xdr:row>
          <xdr:rowOff>28575</xdr:rowOff>
        </xdr:from>
        <xdr:to>
          <xdr:col>5</xdr:col>
          <xdr:colOff>323850</xdr:colOff>
          <xdr:row>56</xdr:row>
          <xdr:rowOff>38100</xdr:rowOff>
        </xdr:to>
        <xdr:sp macro="" textlink="">
          <xdr:nvSpPr>
            <xdr:cNvPr id="11269" name="Drop Down 5" hidden="1">
              <a:extLst>
                <a:ext uri="{63B3BB69-23CF-44E3-9099-C40C66FF867C}">
                  <a14:compatExt spid="_x0000_s11269"/>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xdr:col>
      <xdr:colOff>9525</xdr:colOff>
      <xdr:row>0</xdr:row>
      <xdr:rowOff>38999</xdr:rowOff>
    </xdr:from>
    <xdr:to>
      <xdr:col>5</xdr:col>
      <xdr:colOff>1005993</xdr:colOff>
      <xdr:row>0</xdr:row>
      <xdr:rowOff>238158</xdr:rowOff>
    </xdr:to>
    <xdr:sp macro="" textlink="">
      <xdr:nvSpPr>
        <xdr:cNvPr id="40961" name="Rectangle 1">
          <a:hlinkClick xmlns:r="http://schemas.openxmlformats.org/officeDocument/2006/relationships" r:id="rId1"/>
        </xdr:cNvPr>
        <xdr:cNvSpPr>
          <a:spLocks noChangeArrowheads="1"/>
        </xdr:cNvSpPr>
      </xdr:nvSpPr>
      <xdr:spPr bwMode="auto">
        <a:xfrm>
          <a:off x="428625" y="47625"/>
          <a:ext cx="1714500"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36</xdr:row>
      <xdr:rowOff>0</xdr:rowOff>
    </xdr:from>
    <xdr:to>
      <xdr:col>2</xdr:col>
      <xdr:colOff>0</xdr:colOff>
      <xdr:row>36</xdr:row>
      <xdr:rowOff>0</xdr:rowOff>
    </xdr:to>
    <xdr:sp macro="" textlink="">
      <xdr:nvSpPr>
        <xdr:cNvPr id="11461408" name="Line 1"/>
        <xdr:cNvSpPr>
          <a:spLocks noChangeShapeType="1"/>
        </xdr:cNvSpPr>
      </xdr:nvSpPr>
      <xdr:spPr bwMode="auto">
        <a:xfrm>
          <a:off x="310551" y="12930996"/>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11461409" name="Line 4"/>
        <xdr:cNvSpPr>
          <a:spLocks noChangeShapeType="1"/>
        </xdr:cNvSpPr>
      </xdr:nvSpPr>
      <xdr:spPr bwMode="auto">
        <a:xfrm>
          <a:off x="310551" y="12930996"/>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11461410" name="Line 5"/>
        <xdr:cNvSpPr>
          <a:spLocks noChangeShapeType="1"/>
        </xdr:cNvSpPr>
      </xdr:nvSpPr>
      <xdr:spPr bwMode="auto">
        <a:xfrm>
          <a:off x="310551" y="12930996"/>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37201</xdr:colOff>
      <xdr:row>0</xdr:row>
      <xdr:rowOff>85725</xdr:rowOff>
    </xdr:from>
    <xdr:to>
      <xdr:col>4</xdr:col>
      <xdr:colOff>673558</xdr:colOff>
      <xdr:row>1</xdr:row>
      <xdr:rowOff>0</xdr:rowOff>
    </xdr:to>
    <xdr:sp macro="" textlink="">
      <xdr:nvSpPr>
        <xdr:cNvPr id="7174" name="Rectangle 6">
          <a:hlinkClick xmlns:r="http://schemas.openxmlformats.org/officeDocument/2006/relationships" r:id="rId1"/>
        </xdr:cNvPr>
        <xdr:cNvSpPr>
          <a:spLocks noChangeArrowheads="1"/>
        </xdr:cNvSpPr>
      </xdr:nvSpPr>
      <xdr:spPr bwMode="auto">
        <a:xfrm>
          <a:off x="209550" y="85725"/>
          <a:ext cx="157162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0</xdr:row>
      <xdr:rowOff>38999</xdr:rowOff>
    </xdr:from>
    <xdr:to>
      <xdr:col>5</xdr:col>
      <xdr:colOff>550629</xdr:colOff>
      <xdr:row>0</xdr:row>
      <xdr:rowOff>238158</xdr:rowOff>
    </xdr:to>
    <xdr:sp macro="" textlink="">
      <xdr:nvSpPr>
        <xdr:cNvPr id="18434" name="Rectangle 2">
          <a:hlinkClick xmlns:r="http://schemas.openxmlformats.org/officeDocument/2006/relationships" r:id="rId1"/>
        </xdr:cNvPr>
        <xdr:cNvSpPr>
          <a:spLocks noChangeArrowheads="1"/>
        </xdr:cNvSpPr>
      </xdr:nvSpPr>
      <xdr:spPr bwMode="auto">
        <a:xfrm>
          <a:off x="152400" y="47625"/>
          <a:ext cx="166687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3</xdr:col>
          <xdr:colOff>9525</xdr:colOff>
          <xdr:row>55</xdr:row>
          <xdr:rowOff>0</xdr:rowOff>
        </xdr:from>
        <xdr:to>
          <xdr:col>5</xdr:col>
          <xdr:colOff>209550</xdr:colOff>
          <xdr:row>55</xdr:row>
          <xdr:rowOff>190500</xdr:rowOff>
        </xdr:to>
        <xdr:sp macro="" textlink="">
          <xdr:nvSpPr>
            <xdr:cNvPr id="18438" name="Drop Down 6" hidden="1">
              <a:extLst>
                <a:ext uri="{63B3BB69-23CF-44E3-9099-C40C66FF867C}">
                  <a14:compatExt spid="_x0000_s18438"/>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43132</xdr:colOff>
      <xdr:row>1</xdr:row>
      <xdr:rowOff>25879</xdr:rowOff>
    </xdr:from>
    <xdr:to>
      <xdr:col>3</xdr:col>
      <xdr:colOff>474453</xdr:colOff>
      <xdr:row>1</xdr:row>
      <xdr:rowOff>681487</xdr:rowOff>
    </xdr:to>
    <xdr:pic>
      <xdr:nvPicPr>
        <xdr:cNvPr id="11448720" name="Bild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166" y="189781"/>
          <a:ext cx="1181819" cy="655608"/>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xdr:col>
      <xdr:colOff>198408</xdr:colOff>
      <xdr:row>9</xdr:row>
      <xdr:rowOff>319177</xdr:rowOff>
    </xdr:from>
    <xdr:to>
      <xdr:col>10</xdr:col>
      <xdr:colOff>767751</xdr:colOff>
      <xdr:row>9</xdr:row>
      <xdr:rowOff>4494362</xdr:rowOff>
    </xdr:to>
    <xdr:pic>
      <xdr:nvPicPr>
        <xdr:cNvPr id="11448721" name="Picture 10" descr="I:\Mitarbeiter\Over\Bilder Over\BW Agrar\Fressgitter Milchvieh.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442" y="6142008"/>
          <a:ext cx="7867290" cy="4175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9525</xdr:colOff>
      <xdr:row>0</xdr:row>
      <xdr:rowOff>38999</xdr:rowOff>
    </xdr:from>
    <xdr:to>
      <xdr:col>5</xdr:col>
      <xdr:colOff>1005993</xdr:colOff>
      <xdr:row>0</xdr:row>
      <xdr:rowOff>238158</xdr:rowOff>
    </xdr:to>
    <xdr:sp macro="" textlink="">
      <xdr:nvSpPr>
        <xdr:cNvPr id="45057" name="Rectangle 1">
          <a:hlinkClick xmlns:r="http://schemas.openxmlformats.org/officeDocument/2006/relationships" r:id="rId1"/>
        </xdr:cNvPr>
        <xdr:cNvSpPr>
          <a:spLocks noChangeArrowheads="1"/>
        </xdr:cNvSpPr>
      </xdr:nvSpPr>
      <xdr:spPr bwMode="auto">
        <a:xfrm>
          <a:off x="428625" y="47625"/>
          <a:ext cx="1714500"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36</xdr:row>
      <xdr:rowOff>0</xdr:rowOff>
    </xdr:from>
    <xdr:to>
      <xdr:col>2</xdr:col>
      <xdr:colOff>0</xdr:colOff>
      <xdr:row>36</xdr:row>
      <xdr:rowOff>0</xdr:rowOff>
    </xdr:to>
    <xdr:sp macro="" textlink="">
      <xdr:nvSpPr>
        <xdr:cNvPr id="11462432" name="Line 1"/>
        <xdr:cNvSpPr>
          <a:spLocks noChangeShapeType="1"/>
        </xdr:cNvSpPr>
      </xdr:nvSpPr>
      <xdr:spPr bwMode="auto">
        <a:xfrm>
          <a:off x="319177" y="12930996"/>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11462433" name="Line 4"/>
        <xdr:cNvSpPr>
          <a:spLocks noChangeShapeType="1"/>
        </xdr:cNvSpPr>
      </xdr:nvSpPr>
      <xdr:spPr bwMode="auto">
        <a:xfrm>
          <a:off x="319177" y="12930996"/>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11462434" name="Line 5"/>
        <xdr:cNvSpPr>
          <a:spLocks noChangeShapeType="1"/>
        </xdr:cNvSpPr>
      </xdr:nvSpPr>
      <xdr:spPr bwMode="auto">
        <a:xfrm>
          <a:off x="319177" y="12930996"/>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132451</xdr:colOff>
      <xdr:row>0</xdr:row>
      <xdr:rowOff>38999</xdr:rowOff>
    </xdr:from>
    <xdr:to>
      <xdr:col>5</xdr:col>
      <xdr:colOff>122926</xdr:colOff>
      <xdr:row>0</xdr:row>
      <xdr:rowOff>238158</xdr:rowOff>
    </xdr:to>
    <xdr:sp macro="" textlink="">
      <xdr:nvSpPr>
        <xdr:cNvPr id="8198" name="Rectangle 6">
          <a:hlinkClick xmlns:r="http://schemas.openxmlformats.org/officeDocument/2006/relationships" r:id="rId1"/>
        </xdr:cNvPr>
        <xdr:cNvSpPr>
          <a:spLocks noChangeArrowheads="1"/>
        </xdr:cNvSpPr>
      </xdr:nvSpPr>
      <xdr:spPr bwMode="auto">
        <a:xfrm>
          <a:off x="428625" y="47625"/>
          <a:ext cx="157162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6</xdr:col>
      <xdr:colOff>133350</xdr:colOff>
      <xdr:row>18</xdr:row>
      <xdr:rowOff>0</xdr:rowOff>
    </xdr:from>
    <xdr:to>
      <xdr:col>6</xdr:col>
      <xdr:colOff>332509</xdr:colOff>
      <xdr:row>18</xdr:row>
      <xdr:rowOff>0</xdr:rowOff>
    </xdr:to>
    <xdr:sp macro="" textlink="">
      <xdr:nvSpPr>
        <xdr:cNvPr id="13334" name="AutoShape 22">
          <a:hlinkClick xmlns:r="http://schemas.openxmlformats.org/officeDocument/2006/relationships" r:id="rId1"/>
        </xdr:cNvPr>
        <xdr:cNvSpPr>
          <a:spLocks noChangeArrowheads="1"/>
        </xdr:cNvSpPr>
      </xdr:nvSpPr>
      <xdr:spPr bwMode="auto">
        <a:xfrm>
          <a:off x="2066925" y="4867275"/>
          <a:ext cx="190500" cy="0"/>
        </a:xfrm>
        <a:prstGeom prst="star5">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de-DE"/>
        </a:p>
      </xdr:txBody>
    </xdr:sp>
    <xdr:clientData fPrintsWithSheet="0"/>
  </xdr:twoCellAnchor>
  <xdr:twoCellAnchor>
    <xdr:from>
      <xdr:col>42</xdr:col>
      <xdr:colOff>133350</xdr:colOff>
      <xdr:row>23</xdr:row>
      <xdr:rowOff>9525</xdr:rowOff>
    </xdr:from>
    <xdr:to>
      <xdr:col>43</xdr:col>
      <xdr:colOff>294385</xdr:colOff>
      <xdr:row>24</xdr:row>
      <xdr:rowOff>6735</xdr:rowOff>
    </xdr:to>
    <xdr:sp macro="" textlink="">
      <xdr:nvSpPr>
        <xdr:cNvPr id="13339" name="AutoShape 27">
          <a:hlinkClick xmlns:r="http://schemas.openxmlformats.org/officeDocument/2006/relationships" r:id="rId2"/>
        </xdr:cNvPr>
        <xdr:cNvSpPr>
          <a:spLocks noChangeArrowheads="1"/>
        </xdr:cNvSpPr>
      </xdr:nvSpPr>
      <xdr:spPr bwMode="auto">
        <a:xfrm>
          <a:off x="30022800" y="6257925"/>
          <a:ext cx="1943100" cy="228600"/>
        </a:xfrm>
        <a:prstGeom prst="star5">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de-DE"/>
        </a:p>
      </xdr:txBody>
    </xdr:sp>
    <xdr:clientData/>
  </xdr:twoCellAnchor>
  <xdr:twoCellAnchor>
    <xdr:from>
      <xdr:col>2</xdr:col>
      <xdr:colOff>19050</xdr:colOff>
      <xdr:row>0</xdr:row>
      <xdr:rowOff>38100</xdr:rowOff>
    </xdr:from>
    <xdr:to>
      <xdr:col>6</xdr:col>
      <xdr:colOff>113408</xdr:colOff>
      <xdr:row>0</xdr:row>
      <xdr:rowOff>238125</xdr:rowOff>
    </xdr:to>
    <xdr:sp macro="" textlink="">
      <xdr:nvSpPr>
        <xdr:cNvPr id="13358" name="Rectangle 46">
          <a:hlinkClick xmlns:r="http://schemas.openxmlformats.org/officeDocument/2006/relationships" r:id="rId3"/>
        </xdr:cNvPr>
        <xdr:cNvSpPr>
          <a:spLocks noChangeArrowheads="1"/>
        </xdr:cNvSpPr>
      </xdr:nvSpPr>
      <xdr:spPr bwMode="auto">
        <a:xfrm>
          <a:off x="266700" y="38100"/>
          <a:ext cx="1771650" cy="200025"/>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66675</xdr:colOff>
          <xdr:row>40</xdr:row>
          <xdr:rowOff>19050</xdr:rowOff>
        </xdr:from>
        <xdr:to>
          <xdr:col>5</xdr:col>
          <xdr:colOff>361950</xdr:colOff>
          <xdr:row>41</xdr:row>
          <xdr:rowOff>9525</xdr:rowOff>
        </xdr:to>
        <xdr:sp macro="" textlink="">
          <xdr:nvSpPr>
            <xdr:cNvPr id="13362" name="Drop Down 50" hidden="1">
              <a:extLst>
                <a:ext uri="{63B3BB69-23CF-44E3-9099-C40C66FF867C}">
                  <a14:compatExt spid="_x0000_s13362"/>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9525</xdr:rowOff>
        </xdr:from>
        <xdr:to>
          <xdr:col>5</xdr:col>
          <xdr:colOff>390525</xdr:colOff>
          <xdr:row>44</xdr:row>
          <xdr:rowOff>19050</xdr:rowOff>
        </xdr:to>
        <xdr:sp macro="" textlink="">
          <xdr:nvSpPr>
            <xdr:cNvPr id="13363" name="Drop Down 51" hidden="1">
              <a:extLst>
                <a:ext uri="{63B3BB69-23CF-44E3-9099-C40C66FF867C}">
                  <a14:compatExt spid="_x0000_s13363"/>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46</xdr:row>
          <xdr:rowOff>28575</xdr:rowOff>
        </xdr:from>
        <xdr:to>
          <xdr:col>5</xdr:col>
          <xdr:colOff>400050</xdr:colOff>
          <xdr:row>47</xdr:row>
          <xdr:rowOff>19050</xdr:rowOff>
        </xdr:to>
        <xdr:sp macro="" textlink="">
          <xdr:nvSpPr>
            <xdr:cNvPr id="13364" name="Drop Down 52" hidden="1">
              <a:extLst>
                <a:ext uri="{63B3BB69-23CF-44E3-9099-C40C66FF867C}">
                  <a14:compatExt spid="_x0000_s13364"/>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2</xdr:col>
      <xdr:colOff>9525</xdr:colOff>
      <xdr:row>0</xdr:row>
      <xdr:rowOff>38999</xdr:rowOff>
    </xdr:from>
    <xdr:to>
      <xdr:col>5</xdr:col>
      <xdr:colOff>1005975</xdr:colOff>
      <xdr:row>0</xdr:row>
      <xdr:rowOff>238158</xdr:rowOff>
    </xdr:to>
    <xdr:sp macro="" textlink="">
      <xdr:nvSpPr>
        <xdr:cNvPr id="16388" name="Rectangle 4">
          <a:hlinkClick xmlns:r="http://schemas.openxmlformats.org/officeDocument/2006/relationships" r:id="rId1"/>
        </xdr:cNvPr>
        <xdr:cNvSpPr>
          <a:spLocks noChangeArrowheads="1"/>
        </xdr:cNvSpPr>
      </xdr:nvSpPr>
      <xdr:spPr bwMode="auto">
        <a:xfrm>
          <a:off x="390525" y="47625"/>
          <a:ext cx="174307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2</xdr:col>
      <xdr:colOff>0</xdr:colOff>
      <xdr:row>34</xdr:row>
      <xdr:rowOff>0</xdr:rowOff>
    </xdr:from>
    <xdr:to>
      <xdr:col>2</xdr:col>
      <xdr:colOff>0</xdr:colOff>
      <xdr:row>34</xdr:row>
      <xdr:rowOff>0</xdr:rowOff>
    </xdr:to>
    <xdr:sp macro="" textlink="">
      <xdr:nvSpPr>
        <xdr:cNvPr id="11464480" name="Line 1"/>
        <xdr:cNvSpPr>
          <a:spLocks noChangeShapeType="1"/>
        </xdr:cNvSpPr>
      </xdr:nvSpPr>
      <xdr:spPr bwMode="auto">
        <a:xfrm>
          <a:off x="276045" y="12232257"/>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2</xdr:col>
      <xdr:colOff>0</xdr:colOff>
      <xdr:row>34</xdr:row>
      <xdr:rowOff>0</xdr:rowOff>
    </xdr:to>
    <xdr:sp macro="" textlink="">
      <xdr:nvSpPr>
        <xdr:cNvPr id="11464481" name="Line 2"/>
        <xdr:cNvSpPr>
          <a:spLocks noChangeShapeType="1"/>
        </xdr:cNvSpPr>
      </xdr:nvSpPr>
      <xdr:spPr bwMode="auto">
        <a:xfrm>
          <a:off x="276045" y="12232257"/>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2</xdr:col>
      <xdr:colOff>0</xdr:colOff>
      <xdr:row>34</xdr:row>
      <xdr:rowOff>0</xdr:rowOff>
    </xdr:to>
    <xdr:sp macro="" textlink="">
      <xdr:nvSpPr>
        <xdr:cNvPr id="11464482" name="Line 3"/>
        <xdr:cNvSpPr>
          <a:spLocks noChangeShapeType="1"/>
        </xdr:cNvSpPr>
      </xdr:nvSpPr>
      <xdr:spPr bwMode="auto">
        <a:xfrm>
          <a:off x="276045" y="12232257"/>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132451</xdr:colOff>
      <xdr:row>0</xdr:row>
      <xdr:rowOff>38999</xdr:rowOff>
    </xdr:from>
    <xdr:to>
      <xdr:col>5</xdr:col>
      <xdr:colOff>122926</xdr:colOff>
      <xdr:row>0</xdr:row>
      <xdr:rowOff>238158</xdr:rowOff>
    </xdr:to>
    <xdr:sp macro="" textlink="">
      <xdr:nvSpPr>
        <xdr:cNvPr id="12292" name="Rectangle 4">
          <a:hlinkClick xmlns:r="http://schemas.openxmlformats.org/officeDocument/2006/relationships" r:id="rId1"/>
        </xdr:cNvPr>
        <xdr:cNvSpPr>
          <a:spLocks noChangeArrowheads="1"/>
        </xdr:cNvSpPr>
      </xdr:nvSpPr>
      <xdr:spPr bwMode="auto">
        <a:xfrm>
          <a:off x="390525" y="47625"/>
          <a:ext cx="157162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14</xdr:col>
      <xdr:colOff>0</xdr:colOff>
      <xdr:row>11</xdr:row>
      <xdr:rowOff>0</xdr:rowOff>
    </xdr:from>
    <xdr:to>
      <xdr:col>14</xdr:col>
      <xdr:colOff>0</xdr:colOff>
      <xdr:row>11</xdr:row>
      <xdr:rowOff>0</xdr:rowOff>
    </xdr:to>
    <xdr:sp macro="" textlink="">
      <xdr:nvSpPr>
        <xdr:cNvPr id="103426" name="Text 25"/>
        <xdr:cNvSpPr txBox="1">
          <a:spLocks noChangeArrowheads="1"/>
        </xdr:cNvSpPr>
      </xdr:nvSpPr>
      <xdr:spPr bwMode="auto">
        <a:xfrm>
          <a:off x="8639175" y="17811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50" b="0" i="0" u="none" strike="noStrike" baseline="0">
              <a:solidFill>
                <a:srgbClr val="000000"/>
              </a:solidFill>
              <a:latin typeface="Arial"/>
              <a:cs typeface="Arial"/>
            </a:rPr>
            <a:t>Kühe unter</a:t>
          </a:r>
        </a:p>
        <a:p>
          <a:pPr algn="ctr" rtl="0">
            <a:defRPr sz="1000"/>
          </a:pPr>
          <a:r>
            <a:rPr lang="de-DE" sz="750" b="0" i="0" u="none" strike="noStrike" baseline="0">
              <a:solidFill>
                <a:srgbClr val="000000"/>
              </a:solidFill>
              <a:latin typeface="Arial"/>
              <a:cs typeface="Arial"/>
            </a:rPr>
            <a:t>Milchleistungs-</a:t>
          </a:r>
        </a:p>
        <a:p>
          <a:pPr algn="ctr" rtl="0">
            <a:defRPr sz="1000"/>
          </a:pPr>
          <a:r>
            <a:rPr lang="de-DE" sz="750" b="0" i="0" u="none" strike="noStrike" baseline="0">
              <a:solidFill>
                <a:srgbClr val="000000"/>
              </a:solidFill>
              <a:latin typeface="Arial"/>
              <a:cs typeface="Arial"/>
            </a:rPr>
            <a:t>prüfung</a:t>
          </a:r>
        </a:p>
      </xdr:txBody>
    </xdr:sp>
    <xdr:clientData/>
  </xdr:twoCellAnchor>
  <xdr:twoCellAnchor>
    <xdr:from>
      <xdr:col>14</xdr:col>
      <xdr:colOff>0</xdr:colOff>
      <xdr:row>11</xdr:row>
      <xdr:rowOff>0</xdr:rowOff>
    </xdr:from>
    <xdr:to>
      <xdr:col>14</xdr:col>
      <xdr:colOff>0</xdr:colOff>
      <xdr:row>11</xdr:row>
      <xdr:rowOff>0</xdr:rowOff>
    </xdr:to>
    <xdr:sp macro="" textlink="">
      <xdr:nvSpPr>
        <xdr:cNvPr id="103427" name="Text 26"/>
        <xdr:cNvSpPr txBox="1">
          <a:spLocks noChangeArrowheads="1"/>
        </xdr:cNvSpPr>
      </xdr:nvSpPr>
      <xdr:spPr bwMode="auto">
        <a:xfrm>
          <a:off x="8639175" y="17811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50" b="0" i="0" u="none" strike="noStrike" baseline="0">
              <a:solidFill>
                <a:srgbClr val="000000"/>
              </a:solidFill>
              <a:latin typeface="Arial"/>
              <a:cs typeface="Arial"/>
            </a:rPr>
            <a:t>Kühe nicht unter</a:t>
          </a:r>
        </a:p>
        <a:p>
          <a:pPr algn="ctr" rtl="0">
            <a:defRPr sz="1000"/>
          </a:pPr>
          <a:r>
            <a:rPr lang="de-DE" sz="750" b="0" i="0" u="none" strike="noStrike" baseline="0">
              <a:solidFill>
                <a:srgbClr val="000000"/>
              </a:solidFill>
              <a:latin typeface="Arial"/>
              <a:cs typeface="Arial"/>
            </a:rPr>
            <a:t>Milchleistungs-</a:t>
          </a:r>
        </a:p>
        <a:p>
          <a:pPr algn="ctr" rtl="0">
            <a:defRPr sz="1000"/>
          </a:pPr>
          <a:r>
            <a:rPr lang="de-DE" sz="750" b="0" i="0" u="none" strike="noStrike" baseline="0">
              <a:solidFill>
                <a:srgbClr val="000000"/>
              </a:solidFill>
              <a:latin typeface="Arial"/>
              <a:cs typeface="Arial"/>
            </a:rPr>
            <a:t>prüfung</a:t>
          </a:r>
        </a:p>
      </xdr:txBody>
    </xdr:sp>
    <xdr:clientData/>
  </xdr:twoCellAnchor>
  <xdr:twoCellAnchor>
    <xdr:from>
      <xdr:col>1</xdr:col>
      <xdr:colOff>9525</xdr:colOff>
      <xdr:row>0</xdr:row>
      <xdr:rowOff>0</xdr:rowOff>
    </xdr:from>
    <xdr:to>
      <xdr:col>2</xdr:col>
      <xdr:colOff>569697</xdr:colOff>
      <xdr:row>1</xdr:row>
      <xdr:rowOff>28575</xdr:rowOff>
    </xdr:to>
    <xdr:sp macro="" textlink="">
      <xdr:nvSpPr>
        <xdr:cNvPr id="103430" name="Rectangle 6">
          <a:hlinkClick xmlns:r="http://schemas.openxmlformats.org/officeDocument/2006/relationships" r:id="rId1"/>
        </xdr:cNvPr>
        <xdr:cNvSpPr>
          <a:spLocks noChangeArrowheads="1"/>
        </xdr:cNvSpPr>
      </xdr:nvSpPr>
      <xdr:spPr bwMode="auto">
        <a:xfrm>
          <a:off x="123825" y="0"/>
          <a:ext cx="1657350"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twoCellAnchor>
    <xdr:from>
      <xdr:col>1</xdr:col>
      <xdr:colOff>51758</xdr:colOff>
      <xdr:row>93</xdr:row>
      <xdr:rowOff>120770</xdr:rowOff>
    </xdr:from>
    <xdr:to>
      <xdr:col>8</xdr:col>
      <xdr:colOff>957532</xdr:colOff>
      <xdr:row>108</xdr:row>
      <xdr:rowOff>138023</xdr:rowOff>
    </xdr:to>
    <xdr:graphicFrame macro="">
      <xdr:nvGraphicFramePr>
        <xdr:cNvPr id="13717883"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120770</xdr:colOff>
      <xdr:row>73</xdr:row>
      <xdr:rowOff>129396</xdr:rowOff>
    </xdr:from>
    <xdr:to>
      <xdr:col>8</xdr:col>
      <xdr:colOff>914400</xdr:colOff>
      <xdr:row>91</xdr:row>
      <xdr:rowOff>0</xdr:rowOff>
    </xdr:to>
    <xdr:graphicFrame macro="">
      <xdr:nvGraphicFramePr>
        <xdr:cNvPr id="13717884"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25879</xdr:colOff>
      <xdr:row>1</xdr:row>
      <xdr:rowOff>129396</xdr:rowOff>
    </xdr:from>
    <xdr:to>
      <xdr:col>8</xdr:col>
      <xdr:colOff>672860</xdr:colOff>
      <xdr:row>18</xdr:row>
      <xdr:rowOff>60385</xdr:rowOff>
    </xdr:to>
    <xdr:graphicFrame macro="">
      <xdr:nvGraphicFramePr>
        <xdr:cNvPr id="13717885"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58</xdr:col>
      <xdr:colOff>69011</xdr:colOff>
      <xdr:row>46</xdr:row>
      <xdr:rowOff>43132</xdr:rowOff>
    </xdr:from>
    <xdr:to>
      <xdr:col>67</xdr:col>
      <xdr:colOff>552091</xdr:colOff>
      <xdr:row>74</xdr:row>
      <xdr:rowOff>129396</xdr:rowOff>
    </xdr:to>
    <xdr:graphicFrame macro="">
      <xdr:nvGraphicFramePr>
        <xdr:cNvPr id="137178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241540</xdr:colOff>
      <xdr:row>2</xdr:row>
      <xdr:rowOff>0</xdr:rowOff>
    </xdr:from>
    <xdr:to>
      <xdr:col>5</xdr:col>
      <xdr:colOff>517585</xdr:colOff>
      <xdr:row>2</xdr:row>
      <xdr:rowOff>0</xdr:rowOff>
    </xdr:to>
    <xdr:sp macro="" textlink="">
      <xdr:nvSpPr>
        <xdr:cNvPr id="14337176" name="AutoShape 2"/>
        <xdr:cNvSpPr>
          <a:spLocks noChangeArrowheads="1"/>
        </xdr:cNvSpPr>
      </xdr:nvSpPr>
      <xdr:spPr bwMode="auto">
        <a:xfrm>
          <a:off x="1837426" y="370936"/>
          <a:ext cx="0" cy="0"/>
        </a:xfrm>
        <a:prstGeom prst="curvedRightArrow">
          <a:avLst>
            <a:gd name="adj1" fmla="val -2147483648"/>
            <a:gd name="adj2" fmla="val -2147483648"/>
            <a:gd name="adj3" fmla="val -2147483648"/>
          </a:avLst>
        </a:prstGeom>
        <a:solidFill>
          <a:srgbClr val="FFE0C1"/>
        </a:solidFill>
        <a:ln w="12700">
          <a:solidFill>
            <a:srgbClr val="060606">
              <a:alpha val="50195"/>
            </a:srgb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9525</xdr:colOff>
      <xdr:row>0</xdr:row>
      <xdr:rowOff>28575</xdr:rowOff>
    </xdr:from>
    <xdr:to>
      <xdr:col>5</xdr:col>
      <xdr:colOff>200025</xdr:colOff>
      <xdr:row>1</xdr:row>
      <xdr:rowOff>57150</xdr:rowOff>
    </xdr:to>
    <xdr:sp macro="" textlink="">
      <xdr:nvSpPr>
        <xdr:cNvPr id="101379" name="Rectangle 3">
          <a:hlinkClick xmlns:r="http://schemas.openxmlformats.org/officeDocument/2006/relationships" r:id="rId1"/>
        </xdr:cNvPr>
        <xdr:cNvSpPr>
          <a:spLocks noChangeArrowheads="1"/>
        </xdr:cNvSpPr>
      </xdr:nvSpPr>
      <xdr:spPr bwMode="auto">
        <a:xfrm>
          <a:off x="104775" y="28575"/>
          <a:ext cx="1666875" cy="238125"/>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36576" tIns="27432" rIns="0" bIns="0" anchor="t" upright="1"/>
        <a:lstStyle/>
        <a:p>
          <a:pPr algn="l" rtl="0">
            <a:defRPr sz="1000"/>
          </a:pPr>
          <a:r>
            <a:rPr lang="de-DE" sz="1400" b="1" i="0" u="sng" strike="noStrike" baseline="0">
              <a:solidFill>
                <a:srgbClr val="000000"/>
              </a:solidFill>
              <a:latin typeface="Arial Narrow"/>
            </a:rPr>
            <a:t>Zum Inhaltsverzeichnis</a:t>
          </a:r>
        </a:p>
      </xdr:txBody>
    </xdr:sp>
    <xdr:clientData fPrintsWithSheet="0"/>
  </xdr:twoCellAnchor>
  <xdr:twoCellAnchor>
    <xdr:from>
      <xdr:col>10</xdr:col>
      <xdr:colOff>388728</xdr:colOff>
      <xdr:row>0</xdr:row>
      <xdr:rowOff>0</xdr:rowOff>
    </xdr:from>
    <xdr:to>
      <xdr:col>11</xdr:col>
      <xdr:colOff>579228</xdr:colOff>
      <xdr:row>1</xdr:row>
      <xdr:rowOff>66675</xdr:rowOff>
    </xdr:to>
    <xdr:sp macro="" textlink="">
      <xdr:nvSpPr>
        <xdr:cNvPr id="101396" name="Rectangle 20">
          <a:hlinkClick xmlns:r="http://schemas.openxmlformats.org/officeDocument/2006/relationships" r:id="rId2"/>
        </xdr:cNvPr>
        <xdr:cNvSpPr>
          <a:spLocks noChangeArrowheads="1"/>
        </xdr:cNvSpPr>
      </xdr:nvSpPr>
      <xdr:spPr bwMode="auto">
        <a:xfrm>
          <a:off x="3781425" y="0"/>
          <a:ext cx="1057275" cy="276225"/>
        </a:xfrm>
        <a:prstGeom prst="rect">
          <a:avLst/>
        </a:prstGeom>
        <a:solidFill>
          <a:srgbClr xmlns:mc="http://schemas.openxmlformats.org/markup-compatibility/2006" xmlns:a14="http://schemas.microsoft.com/office/drawing/2010/main" val="69FFFF" mc:Ignorable="a14" a14:legacySpreadsheetColorIndex="41"/>
        </a:solidFill>
        <a:ln w="12700">
          <a:solidFill>
            <a:srgbClr val="060606">
              <a:alpha val="50000"/>
            </a:srgb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de-DE" sz="1400" b="0" i="0" u="sng" strike="noStrike" baseline="0">
              <a:solidFill>
                <a:srgbClr val="000000"/>
              </a:solidFill>
              <a:latin typeface="Arial"/>
              <a:cs typeface="Arial"/>
            </a:rPr>
            <a:t>Milchpreis</a:t>
          </a:r>
        </a:p>
      </xdr:txBody>
    </xdr:sp>
    <xdr:clientData fPrintsWithSheet="0"/>
  </xdr:twoCellAnchor>
  <xdr:twoCellAnchor>
    <xdr:from>
      <xdr:col>12</xdr:col>
      <xdr:colOff>457200</xdr:colOff>
      <xdr:row>0</xdr:row>
      <xdr:rowOff>0</xdr:rowOff>
    </xdr:from>
    <xdr:to>
      <xdr:col>14</xdr:col>
      <xdr:colOff>113370</xdr:colOff>
      <xdr:row>1</xdr:row>
      <xdr:rowOff>85725</xdr:rowOff>
    </xdr:to>
    <xdr:sp macro="" textlink="">
      <xdr:nvSpPr>
        <xdr:cNvPr id="101397" name="Rectangle 21">
          <a:hlinkClick xmlns:r="http://schemas.openxmlformats.org/officeDocument/2006/relationships" r:id="rId3"/>
        </xdr:cNvPr>
        <xdr:cNvSpPr>
          <a:spLocks noChangeArrowheads="1"/>
        </xdr:cNvSpPr>
      </xdr:nvSpPr>
      <xdr:spPr bwMode="auto">
        <a:xfrm>
          <a:off x="5591175" y="0"/>
          <a:ext cx="1181100" cy="295275"/>
        </a:xfrm>
        <a:prstGeom prst="rect">
          <a:avLst/>
        </a:prstGeom>
        <a:solidFill>
          <a:srgbClr xmlns:mc="http://schemas.openxmlformats.org/markup-compatibility/2006" xmlns:a14="http://schemas.microsoft.com/office/drawing/2010/main" val="69FFFF" mc:Ignorable="a14" a14:legacySpreadsheetColorIndex="41"/>
        </a:solidFill>
        <a:ln w="12700">
          <a:solidFill>
            <a:srgbClr val="060606">
              <a:alpha val="50000"/>
            </a:srgb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de-DE" sz="1400" b="0" i="0" u="sng" strike="noStrike" baseline="0">
              <a:solidFill>
                <a:srgbClr val="000000"/>
              </a:solidFill>
              <a:latin typeface="Arial"/>
              <a:cs typeface="Arial"/>
            </a:rPr>
            <a:t>Kälberpreis</a:t>
          </a:r>
        </a:p>
      </xdr:txBody>
    </xdr:sp>
    <xdr:clientData fPrintsWithSheet="0"/>
  </xdr:twoCellAnchor>
  <xdr:twoCellAnchor>
    <xdr:from>
      <xdr:col>14</xdr:col>
      <xdr:colOff>702154</xdr:colOff>
      <xdr:row>0</xdr:row>
      <xdr:rowOff>0</xdr:rowOff>
    </xdr:from>
    <xdr:to>
      <xdr:col>16</xdr:col>
      <xdr:colOff>227701</xdr:colOff>
      <xdr:row>1</xdr:row>
      <xdr:rowOff>76200</xdr:rowOff>
    </xdr:to>
    <xdr:sp macro="" textlink="">
      <xdr:nvSpPr>
        <xdr:cNvPr id="101398" name="Rectangle 22">
          <a:hlinkClick xmlns:r="http://schemas.openxmlformats.org/officeDocument/2006/relationships" r:id="rId4"/>
        </xdr:cNvPr>
        <xdr:cNvSpPr>
          <a:spLocks noChangeArrowheads="1"/>
        </xdr:cNvSpPr>
      </xdr:nvSpPr>
      <xdr:spPr bwMode="auto">
        <a:xfrm>
          <a:off x="7343775" y="0"/>
          <a:ext cx="2266950" cy="285750"/>
        </a:xfrm>
        <a:prstGeom prst="rect">
          <a:avLst/>
        </a:prstGeom>
        <a:solidFill>
          <a:srgbClr xmlns:mc="http://schemas.openxmlformats.org/markup-compatibility/2006" xmlns:a14="http://schemas.microsoft.com/office/drawing/2010/main" val="69FFFF" mc:Ignorable="a14" a14:legacySpreadsheetColorIndex="41"/>
        </a:solidFill>
        <a:ln w="12700">
          <a:solidFill>
            <a:srgbClr val="060606">
              <a:alpha val="50000"/>
            </a:srgb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de-DE" sz="1400" b="0" i="0" u="sng" strike="noStrike" baseline="0">
              <a:solidFill>
                <a:srgbClr val="000000"/>
              </a:solidFill>
              <a:latin typeface="Arial"/>
              <a:cs typeface="Arial"/>
            </a:rPr>
            <a:t>Schlachtrinderpreis</a:t>
          </a:r>
        </a:p>
        <a:p>
          <a:pPr algn="l" rtl="0">
            <a:defRPr sz="1000"/>
          </a:pPr>
          <a:endParaRPr lang="de-DE" sz="1400" b="0" i="0" u="sng" strike="noStrike" baseline="0">
            <a:solidFill>
              <a:srgbClr val="000000"/>
            </a:solidFill>
            <a:latin typeface="Arial"/>
            <a:cs typeface="Arial"/>
          </a:endParaRPr>
        </a:p>
      </xdr:txBody>
    </xdr:sp>
    <xdr:clientData fPrintsWithSheet="0"/>
  </xdr:twoCellAnchor>
  <xdr:twoCellAnchor>
    <xdr:from>
      <xdr:col>15</xdr:col>
      <xdr:colOff>816635</xdr:colOff>
      <xdr:row>2</xdr:row>
      <xdr:rowOff>195531</xdr:rowOff>
    </xdr:from>
    <xdr:to>
      <xdr:col>15</xdr:col>
      <xdr:colOff>1727640</xdr:colOff>
      <xdr:row>3</xdr:row>
      <xdr:rowOff>166059</xdr:rowOff>
    </xdr:to>
    <xdr:sp macro="" textlink="$R$1">
      <xdr:nvSpPr>
        <xdr:cNvPr id="17" name="Rectangle 79"/>
        <xdr:cNvSpPr>
          <a:spLocks noChangeArrowheads="1" noTextEdit="1"/>
        </xdr:cNvSpPr>
      </xdr:nvSpPr>
      <xdr:spPr bwMode="auto">
        <a:xfrm>
          <a:off x="8545903" y="563591"/>
          <a:ext cx="911005" cy="223569"/>
        </a:xfrm>
        <a:prstGeom prst="rect">
          <a:avLst/>
        </a:prstGeom>
        <a:solidFill>
          <a:srgbClr val="FFE0C1"/>
        </a:solidFill>
        <a:ln w="12700">
          <a:solidFill>
            <a:srgbClr val="060606">
              <a:alpha val="50000"/>
            </a:srgb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fld id="{7AD19E4B-2C5E-4C40-8572-A5899CCDA713}" type="TxLink">
            <a:rPr lang="de-DE" sz="1000" b="0" i="0" u="none" strike="noStrike" baseline="0">
              <a:solidFill>
                <a:srgbClr val="000000"/>
              </a:solidFill>
              <a:latin typeface="Arial"/>
              <a:cs typeface="Arial"/>
            </a:rPr>
            <a:pPr algn="l" rtl="0">
              <a:defRPr sz="1000"/>
            </a:pPr>
            <a:t>(ohne Mwst.)</a:t>
          </a:fld>
          <a:endParaRPr lang="de-DE" sz="1000" b="0" i="0" u="none" strike="noStrike" baseline="0">
            <a:solidFill>
              <a:srgbClr val="000000"/>
            </a:solidFill>
            <a:latin typeface="Arial"/>
            <a:cs typeface="Arial"/>
          </a:endParaRPr>
        </a:p>
      </xdr:txBody>
    </xdr:sp>
    <xdr:clientData/>
  </xdr:twoCellAnchor>
  <xdr:twoCellAnchor>
    <xdr:from>
      <xdr:col>14</xdr:col>
      <xdr:colOff>69011</xdr:colOff>
      <xdr:row>22</xdr:row>
      <xdr:rowOff>1</xdr:rowOff>
    </xdr:from>
    <xdr:to>
      <xdr:col>15</xdr:col>
      <xdr:colOff>49438</xdr:colOff>
      <xdr:row>23</xdr:row>
      <xdr:rowOff>8729</xdr:rowOff>
    </xdr:to>
    <xdr:sp macro="" textlink="$R$1">
      <xdr:nvSpPr>
        <xdr:cNvPr id="18" name="Rectangle 77"/>
        <xdr:cNvSpPr>
          <a:spLocks noChangeArrowheads="1" noTextEdit="1"/>
        </xdr:cNvSpPr>
      </xdr:nvSpPr>
      <xdr:spPr bwMode="auto">
        <a:xfrm>
          <a:off x="6924135" y="5428892"/>
          <a:ext cx="854571" cy="261769"/>
        </a:xfrm>
        <a:prstGeom prst="rect">
          <a:avLst/>
        </a:prstGeom>
        <a:solidFill>
          <a:srgbClr val="FFE0C1"/>
        </a:solidFill>
        <a:ln w="12700">
          <a:solidFill>
            <a:srgbClr val="060606">
              <a:alpha val="50000"/>
            </a:srgb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fld id="{9DE9F011-21A7-4540-BCF0-0C7D8BCDEEE0}" type="TxLink">
            <a:rPr lang="de-DE" sz="1000" b="0" i="0" u="none" strike="noStrike" baseline="0">
              <a:solidFill>
                <a:srgbClr val="000000"/>
              </a:solidFill>
              <a:latin typeface="Arial"/>
              <a:cs typeface="Arial"/>
            </a:rPr>
            <a:pPr algn="l" rtl="0">
              <a:defRPr sz="1000"/>
            </a:pPr>
            <a:t>(ohne Mwst.)</a:t>
          </a:fld>
          <a:endParaRPr lang="de-DE" sz="1000" b="0" i="0" u="none" strike="noStrike" baseline="0">
            <a:solidFill>
              <a:srgbClr val="000000"/>
            </a:solidFill>
            <a:latin typeface="Arial"/>
            <a:cs typeface="Arial"/>
          </a:endParaRPr>
        </a:p>
      </xdr:txBody>
    </xdr:sp>
    <xdr:clientData/>
  </xdr:twoCellAnchor>
  <xdr:twoCellAnchor editAs="oneCell">
    <xdr:from>
      <xdr:col>13</xdr:col>
      <xdr:colOff>713116</xdr:colOff>
      <xdr:row>40</xdr:row>
      <xdr:rowOff>149524</xdr:rowOff>
    </xdr:from>
    <xdr:to>
      <xdr:col>14</xdr:col>
      <xdr:colOff>874143</xdr:colOff>
      <xdr:row>41</xdr:row>
      <xdr:rowOff>132271</xdr:rowOff>
    </xdr:to>
    <xdr:pic>
      <xdr:nvPicPr>
        <xdr:cNvPr id="24" name="Grafik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3108" y="10133161"/>
          <a:ext cx="966159" cy="235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xdr:colOff>
      <xdr:row>26</xdr:row>
      <xdr:rowOff>25400</xdr:rowOff>
    </xdr:from>
    <xdr:to>
      <xdr:col>16</xdr:col>
      <xdr:colOff>0</xdr:colOff>
      <xdr:row>47</xdr:row>
      <xdr:rowOff>166290</xdr:rowOff>
    </xdr:to>
    <xdr:pic>
      <xdr:nvPicPr>
        <xdr:cNvPr id="13" name="Grafik 12" descr="https://www.lel-web.de/app/ds/lel/llm/Diagramme_Tier-Dateien/image016.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2534" y="6570133"/>
          <a:ext cx="9533466" cy="5474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xdr:colOff>
      <xdr:row>47</xdr:row>
      <xdr:rowOff>172161</xdr:rowOff>
    </xdr:from>
    <xdr:to>
      <xdr:col>15</xdr:col>
      <xdr:colOff>1964266</xdr:colOff>
      <xdr:row>76</xdr:row>
      <xdr:rowOff>29133</xdr:rowOff>
    </xdr:to>
    <xdr:pic>
      <xdr:nvPicPr>
        <xdr:cNvPr id="19" name="Grafik 18" descr="https://www.lel-web.de/app/ds/lel/llm/Diagramme_Tier-Dateien/image015.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0999" y="12050894"/>
          <a:ext cx="9516534" cy="6342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270932</xdr:colOff>
      <xdr:row>2</xdr:row>
      <xdr:rowOff>4955</xdr:rowOff>
    </xdr:from>
    <xdr:to>
      <xdr:col>16</xdr:col>
      <xdr:colOff>4761</xdr:colOff>
      <xdr:row>26</xdr:row>
      <xdr:rowOff>33867</xdr:rowOff>
    </xdr:to>
    <xdr:pic>
      <xdr:nvPicPr>
        <xdr:cNvPr id="21" name="Grafik 20" descr="https://www.lel-web.de/app/ds/lel/llm/Diagramme_Tier-Dateien/image023.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72532" y="453688"/>
          <a:ext cx="9538229" cy="6124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146649</xdr:colOff>
      <xdr:row>18</xdr:row>
      <xdr:rowOff>112143</xdr:rowOff>
    </xdr:from>
    <xdr:to>
      <xdr:col>13</xdr:col>
      <xdr:colOff>1561381</xdr:colOff>
      <xdr:row>49</xdr:row>
      <xdr:rowOff>155275</xdr:rowOff>
    </xdr:to>
    <xdr:graphicFrame macro="">
      <xdr:nvGraphicFramePr>
        <xdr:cNvPr id="11471248"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0</xdr:row>
      <xdr:rowOff>28575</xdr:rowOff>
    </xdr:from>
    <xdr:to>
      <xdr:col>5</xdr:col>
      <xdr:colOff>218188</xdr:colOff>
      <xdr:row>1</xdr:row>
      <xdr:rowOff>85725</xdr:rowOff>
    </xdr:to>
    <xdr:sp macro="" textlink="">
      <xdr:nvSpPr>
        <xdr:cNvPr id="102403" name="Rectangle 3">
          <a:hlinkClick xmlns:r="http://schemas.openxmlformats.org/officeDocument/2006/relationships" r:id="rId2"/>
        </xdr:cNvPr>
        <xdr:cNvSpPr>
          <a:spLocks noChangeArrowheads="1"/>
        </xdr:cNvSpPr>
      </xdr:nvSpPr>
      <xdr:spPr bwMode="auto">
        <a:xfrm>
          <a:off x="400050" y="28575"/>
          <a:ext cx="2505075" cy="219075"/>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133350</xdr:colOff>
          <xdr:row>7</xdr:row>
          <xdr:rowOff>28575</xdr:rowOff>
        </xdr:from>
        <xdr:to>
          <xdr:col>5</xdr:col>
          <xdr:colOff>666750</xdr:colOff>
          <xdr:row>8</xdr:row>
          <xdr:rowOff>9525</xdr:rowOff>
        </xdr:to>
        <xdr:sp macro="" textlink="">
          <xdr:nvSpPr>
            <xdr:cNvPr id="93185" name="Spinner 1" hidden="1">
              <a:extLst>
                <a:ext uri="{63B3BB69-23CF-44E3-9099-C40C66FF867C}">
                  <a14:compatExt spid="_x0000_s93185"/>
                </a:ext>
              </a:extLst>
            </xdr:cNvPr>
            <xdr:cNvSpPr/>
          </xdr:nvSpPr>
          <xdr:spPr bwMode="auto">
            <a:xfrm>
              <a:off x="0" y="0"/>
              <a:ext cx="0" cy="0"/>
            </a:xfrm>
            <a:prstGeom prst="rect">
              <a:avLst/>
            </a:prstGeom>
            <a:noFill/>
            <a:ln w="12700">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13</xdr:row>
          <xdr:rowOff>0</xdr:rowOff>
        </xdr:from>
        <xdr:to>
          <xdr:col>5</xdr:col>
          <xdr:colOff>647700</xdr:colOff>
          <xdr:row>14</xdr:row>
          <xdr:rowOff>9525</xdr:rowOff>
        </xdr:to>
        <xdr:sp macro="" textlink="">
          <xdr:nvSpPr>
            <xdr:cNvPr id="93198" name="Spinner 14" hidden="1">
              <a:extLst>
                <a:ext uri="{63B3BB69-23CF-44E3-9099-C40C66FF867C}">
                  <a14:compatExt spid="_x0000_s93198"/>
                </a:ext>
              </a:extLst>
            </xdr:cNvPr>
            <xdr:cNvSpPr/>
          </xdr:nvSpPr>
          <xdr:spPr bwMode="auto">
            <a:xfrm>
              <a:off x="0" y="0"/>
              <a:ext cx="0" cy="0"/>
            </a:xfrm>
            <a:prstGeom prst="rect">
              <a:avLst/>
            </a:prstGeom>
            <a:noFill/>
            <a:ln w="12700">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209550</xdr:colOff>
          <xdr:row>16</xdr:row>
          <xdr:rowOff>142875</xdr:rowOff>
        </xdr:from>
        <xdr:to>
          <xdr:col>8</xdr:col>
          <xdr:colOff>466725</xdr:colOff>
          <xdr:row>18</xdr:row>
          <xdr:rowOff>47625</xdr:rowOff>
        </xdr:to>
        <xdr:sp macro="" textlink="">
          <xdr:nvSpPr>
            <xdr:cNvPr id="93199" name="Spinner 15" hidden="1">
              <a:extLst>
                <a:ext uri="{63B3BB69-23CF-44E3-9099-C40C66FF867C}">
                  <a14:compatExt spid="_x0000_s93199"/>
                </a:ext>
              </a:extLst>
            </xdr:cNvPr>
            <xdr:cNvSpPr/>
          </xdr:nvSpPr>
          <xdr:spPr bwMode="auto">
            <a:xfrm>
              <a:off x="0" y="0"/>
              <a:ext cx="0" cy="0"/>
            </a:xfrm>
            <a:prstGeom prst="rect">
              <a:avLst/>
            </a:prstGeom>
            <a:noFill/>
            <a:ln w="12700">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28575</xdr:rowOff>
        </xdr:from>
        <xdr:to>
          <xdr:col>3</xdr:col>
          <xdr:colOff>504825</xdr:colOff>
          <xdr:row>30</xdr:row>
          <xdr:rowOff>0</xdr:rowOff>
        </xdr:to>
        <xdr:sp macro="" textlink="">
          <xdr:nvSpPr>
            <xdr:cNvPr id="93207" name="Drop Down 23" hidden="1">
              <a:extLst>
                <a:ext uri="{63B3BB69-23CF-44E3-9099-C40C66FF867C}">
                  <a14:compatExt spid="_x0000_s93207"/>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twoCellAnchor>
    <xdr:from>
      <xdr:col>3</xdr:col>
      <xdr:colOff>526211</xdr:colOff>
      <xdr:row>32</xdr:row>
      <xdr:rowOff>189781</xdr:rowOff>
    </xdr:from>
    <xdr:to>
      <xdr:col>4</xdr:col>
      <xdr:colOff>215660</xdr:colOff>
      <xdr:row>44</xdr:row>
      <xdr:rowOff>129396</xdr:rowOff>
    </xdr:to>
    <xdr:sp macro="" textlink="">
      <xdr:nvSpPr>
        <xdr:cNvPr id="13045712" name="AutoShape 26"/>
        <xdr:cNvSpPr>
          <a:spLocks/>
        </xdr:cNvSpPr>
      </xdr:nvSpPr>
      <xdr:spPr bwMode="auto">
        <a:xfrm>
          <a:off x="1992702" y="5952226"/>
          <a:ext cx="336430" cy="2113472"/>
        </a:xfrm>
        <a:prstGeom prst="leftBrace">
          <a:avLst>
            <a:gd name="adj1" fmla="val 52350"/>
            <a:gd name="adj2" fmla="val 50000"/>
          </a:avLst>
        </a:prstGeom>
        <a:noFill/>
        <a:ln w="12700">
          <a:solidFill>
            <a:srgbClr val="060606">
              <a:alpha val="50195"/>
            </a:srgbClr>
          </a:solidFill>
          <a:round/>
          <a:headEnd/>
          <a:tailEnd/>
        </a:ln>
        <a:effectLst/>
        <a:extLst>
          <a:ext uri="{909E8E84-426E-40DD-AFC4-6F175D3DCCD1}">
            <a14:hiddenFill xmlns:a14="http://schemas.microsoft.com/office/drawing/2010/main">
              <a:solidFill>
                <a:srgbClr val="FFE0C1"/>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86264</xdr:colOff>
      <xdr:row>127</xdr:row>
      <xdr:rowOff>155275</xdr:rowOff>
    </xdr:from>
    <xdr:to>
      <xdr:col>6</xdr:col>
      <xdr:colOff>43132</xdr:colOff>
      <xdr:row>142</xdr:row>
      <xdr:rowOff>69011</xdr:rowOff>
    </xdr:to>
    <xdr:graphicFrame macro="">
      <xdr:nvGraphicFramePr>
        <xdr:cNvPr id="13045713" name="Diagramm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86264</xdr:colOff>
      <xdr:row>127</xdr:row>
      <xdr:rowOff>155275</xdr:rowOff>
    </xdr:from>
    <xdr:to>
      <xdr:col>10</xdr:col>
      <xdr:colOff>534838</xdr:colOff>
      <xdr:row>142</xdr:row>
      <xdr:rowOff>77638</xdr:rowOff>
    </xdr:to>
    <xdr:graphicFrame macro="">
      <xdr:nvGraphicFramePr>
        <xdr:cNvPr id="13045714" name="Diagramm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3</xdr:col>
      <xdr:colOff>256267</xdr:colOff>
      <xdr:row>1</xdr:row>
      <xdr:rowOff>28575</xdr:rowOff>
    </xdr:to>
    <xdr:sp macro="" textlink="">
      <xdr:nvSpPr>
        <xdr:cNvPr id="93226" name="Rectangle 42">
          <a:hlinkClick xmlns:r="http://schemas.openxmlformats.org/officeDocument/2006/relationships" r:id="rId3"/>
        </xdr:cNvPr>
        <xdr:cNvSpPr>
          <a:spLocks noChangeArrowheads="1"/>
        </xdr:cNvSpPr>
      </xdr:nvSpPr>
      <xdr:spPr bwMode="auto">
        <a:xfrm>
          <a:off x="95250" y="0"/>
          <a:ext cx="157162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twoCellAnchor>
    <xdr:from>
      <xdr:col>7</xdr:col>
      <xdr:colOff>138023</xdr:colOff>
      <xdr:row>149</xdr:row>
      <xdr:rowOff>0</xdr:rowOff>
    </xdr:from>
    <xdr:to>
      <xdr:col>10</xdr:col>
      <xdr:colOff>163902</xdr:colOff>
      <xdr:row>154</xdr:row>
      <xdr:rowOff>155275</xdr:rowOff>
    </xdr:to>
    <xdr:graphicFrame macro="">
      <xdr:nvGraphicFramePr>
        <xdr:cNvPr id="13045716" name="Diagramm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155275</xdr:colOff>
      <xdr:row>155</xdr:row>
      <xdr:rowOff>103517</xdr:rowOff>
    </xdr:from>
    <xdr:to>
      <xdr:col>10</xdr:col>
      <xdr:colOff>103517</xdr:colOff>
      <xdr:row>160</xdr:row>
      <xdr:rowOff>69011</xdr:rowOff>
    </xdr:to>
    <xdr:graphicFrame macro="">
      <xdr:nvGraphicFramePr>
        <xdr:cNvPr id="13045717" name="Diagramm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155864</xdr:colOff>
      <xdr:row>160</xdr:row>
      <xdr:rowOff>103517</xdr:rowOff>
    </xdr:from>
    <xdr:to>
      <xdr:col>10</xdr:col>
      <xdr:colOff>86591</xdr:colOff>
      <xdr:row>164</xdr:row>
      <xdr:rowOff>150091</xdr:rowOff>
    </xdr:to>
    <xdr:graphicFrame macro="">
      <xdr:nvGraphicFramePr>
        <xdr:cNvPr id="13045718" name="Diagramm 1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163902</xdr:colOff>
      <xdr:row>165</xdr:row>
      <xdr:rowOff>17253</xdr:rowOff>
    </xdr:from>
    <xdr:to>
      <xdr:col>10</xdr:col>
      <xdr:colOff>94891</xdr:colOff>
      <xdr:row>168</xdr:row>
      <xdr:rowOff>103517</xdr:rowOff>
    </xdr:to>
    <xdr:graphicFrame macro="">
      <xdr:nvGraphicFramePr>
        <xdr:cNvPr id="13045719" name="Diagramm 1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354</xdr:row>
      <xdr:rowOff>34506</xdr:rowOff>
    </xdr:from>
    <xdr:to>
      <xdr:col>14</xdr:col>
      <xdr:colOff>592108</xdr:colOff>
      <xdr:row>388</xdr:row>
      <xdr:rowOff>103517</xdr:rowOff>
    </xdr:to>
    <xdr:pic>
      <xdr:nvPicPr>
        <xdr:cNvPr id="13045720" name="Grafik 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61454581"/>
          <a:ext cx="8272732" cy="5641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316</xdr:row>
      <xdr:rowOff>0</xdr:rowOff>
    </xdr:from>
    <xdr:to>
      <xdr:col>14</xdr:col>
      <xdr:colOff>574855</xdr:colOff>
      <xdr:row>350</xdr:row>
      <xdr:rowOff>60385</xdr:rowOff>
    </xdr:to>
    <xdr:pic>
      <xdr:nvPicPr>
        <xdr:cNvPr id="13045721" name="Grafik 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4891" y="55191804"/>
          <a:ext cx="8160588" cy="5633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122926</xdr:colOff>
      <xdr:row>6</xdr:row>
      <xdr:rowOff>476250</xdr:rowOff>
    </xdr:from>
    <xdr:to>
      <xdr:col>7</xdr:col>
      <xdr:colOff>1451938</xdr:colOff>
      <xdr:row>9</xdr:row>
      <xdr:rowOff>76200</xdr:rowOff>
    </xdr:to>
    <xdr:sp macro="" textlink="">
      <xdr:nvSpPr>
        <xdr:cNvPr id="2084" name="Rectangle 36"/>
        <xdr:cNvSpPr>
          <a:spLocks noChangeArrowheads="1"/>
        </xdr:cNvSpPr>
      </xdr:nvSpPr>
      <xdr:spPr bwMode="auto">
        <a:xfrm>
          <a:off x="285750" y="2952750"/>
          <a:ext cx="4791075" cy="609600"/>
        </a:xfrm>
        <a:prstGeom prst="rect">
          <a:avLst/>
        </a:prstGeom>
        <a:solidFill>
          <a:srgbClr val="FFE0C1"/>
        </a:solidFill>
        <a:ln w="12700">
          <a:solidFill>
            <a:srgbClr val="060606">
              <a:alpha val="50000"/>
            </a:srgb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Die entsprechenden Tabellenblätter sind am unteren Bildschirmrand jeweils einzeln auszuwählen. Alternativ gelangt man durch anklicken der (blau beschrifteten) Schaltflächen  sofort u. direkt zum jeweiligen Tabellenblatt.</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60</xdr:row>
      <xdr:rowOff>0</xdr:rowOff>
    </xdr:from>
    <xdr:to>
      <xdr:col>55</xdr:col>
      <xdr:colOff>28575</xdr:colOff>
      <xdr:row>60</xdr:row>
      <xdr:rowOff>0</xdr:rowOff>
    </xdr:to>
    <xdr:sp macro="" textlink="">
      <xdr:nvSpPr>
        <xdr:cNvPr id="3073" name="Text 2"/>
        <xdr:cNvSpPr txBox="1">
          <a:spLocks noChangeArrowheads="1"/>
        </xdr:cNvSpPr>
      </xdr:nvSpPr>
      <xdr:spPr bwMode="auto">
        <a:xfrm>
          <a:off x="133350" y="9648825"/>
          <a:ext cx="81724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just" rtl="0">
            <a:defRPr sz="1000"/>
          </a:pPr>
          <a:r>
            <a:rPr lang="de-DE" sz="1200" b="0" i="0" u="none" strike="noStrike" baseline="0">
              <a:solidFill>
                <a:srgbClr val="000000"/>
              </a:solidFill>
              <a:latin typeface="Arial"/>
              <a:cs typeface="Arial"/>
            </a:rPr>
            <a:t>Der Deckungsbeitrag dient als Maßstab für die Leistungsfähigkeit eines Produktionsverfahrens. Er ist definiert als Differenz zwischen der Marktleistung und den variablen Kosten. </a:t>
          </a:r>
        </a:p>
        <a:p>
          <a:pPr algn="just" rtl="0">
            <a:defRPr sz="1000"/>
          </a:pPr>
          <a:endParaRPr lang="de-DE" sz="1200" b="0" i="0" u="none" strike="noStrike" baseline="0">
            <a:solidFill>
              <a:srgbClr val="000000"/>
            </a:solidFill>
            <a:latin typeface="Arial"/>
            <a:cs typeface="Arial"/>
          </a:endParaRPr>
        </a:p>
        <a:p>
          <a:pPr algn="just" rtl="0">
            <a:defRPr sz="1000"/>
          </a:pPr>
          <a:r>
            <a:rPr lang="de-DE" sz="1200" b="0" i="0" u="none" strike="noStrike" baseline="0">
              <a:solidFill>
                <a:srgbClr val="000000"/>
              </a:solidFill>
              <a:latin typeface="Arial"/>
              <a:cs typeface="Arial"/>
            </a:rPr>
            <a:t>Der </a:t>
          </a:r>
          <a:r>
            <a:rPr lang="de-DE" sz="1200" b="1" i="0" u="none" strike="noStrike" baseline="0">
              <a:solidFill>
                <a:srgbClr val="000000"/>
              </a:solidFill>
              <a:latin typeface="Arial"/>
              <a:cs typeface="Arial"/>
            </a:rPr>
            <a:t>Deckungsbeitrag A</a:t>
          </a:r>
          <a:r>
            <a:rPr lang="de-DE" sz="1200" b="0" i="0" u="none" strike="noStrike" baseline="0">
              <a:solidFill>
                <a:srgbClr val="000000"/>
              </a:solidFill>
              <a:latin typeface="Arial"/>
              <a:cs typeface="Arial"/>
            </a:rPr>
            <a:t> (als Differenz zwischen Leistungen A und variablen Kosten A) wird bei der Planung der Betriebsorganisation (z. B. im BVP, M-Plan) verwendet. Er berücksichtigt nur die verfahrensabhängigen Ausgleichsleistungen (z. B. MEKA, Ausgleich nach SchALVO in Wasserschutzgebieten, Ausgleichszulage in benachteiligten Agrargebieten). Diese stellen einen Ausgleich für Mehrkosten bzw. Minderertrag dar und sind ein wesentliches Merkmal der Produktionstechnik. </a:t>
          </a:r>
        </a:p>
        <a:p>
          <a:pPr algn="just" rtl="0">
            <a:defRPr sz="1000"/>
          </a:pPr>
          <a:r>
            <a:rPr lang="de-DE" sz="1200" b="0" i="0" u="none" strike="noStrike" baseline="0">
              <a:solidFill>
                <a:srgbClr val="000000"/>
              </a:solidFill>
              <a:latin typeface="Arial"/>
              <a:cs typeface="Arial"/>
            </a:rPr>
            <a:t>Zunächst nicht berücksichtigt werden dagegen die organisationsabhängigen Ausgleichsleistungen (z. B. EU-Kulturpflanzenausgleich einschließlich Einbuße durch Flächenstilllegung). Diese werden nach der Festlegung der Betriebsorganisation und der Entscheidung über die Antragsvariante (Allgemeine Regelung oder Kleinerzeugerregelung, jeweils in den Bereichen Kulturpflanzen oder Rindfleisch) gesondert ermittelt und später zum Gesamt-Deckungsbeitrag des Betriebes addiert. </a:t>
          </a:r>
        </a:p>
        <a:p>
          <a:pPr algn="just" rtl="0">
            <a:defRPr sz="1000"/>
          </a:pPr>
          <a:endParaRPr lang="de-DE" sz="1200" b="0" i="0" u="none" strike="noStrike" baseline="0">
            <a:solidFill>
              <a:srgbClr val="000000"/>
            </a:solidFill>
            <a:latin typeface="Arial"/>
            <a:cs typeface="Arial"/>
          </a:endParaRPr>
        </a:p>
        <a:p>
          <a:pPr algn="just" rtl="0">
            <a:defRPr sz="1000"/>
          </a:pPr>
          <a:r>
            <a:rPr lang="de-DE" sz="1200" b="0" i="0" u="none" strike="noStrike" baseline="0">
              <a:solidFill>
                <a:srgbClr val="000000"/>
              </a:solidFill>
              <a:latin typeface="Arial"/>
              <a:cs typeface="Arial"/>
            </a:rPr>
            <a:t>Der </a:t>
          </a:r>
          <a:r>
            <a:rPr lang="de-DE" sz="1200" b="1" i="0" u="none" strike="noStrike" baseline="0">
              <a:solidFill>
                <a:srgbClr val="000000"/>
              </a:solidFill>
              <a:latin typeface="Arial"/>
              <a:cs typeface="Arial"/>
            </a:rPr>
            <a:t>Deckungsbeitrag B</a:t>
          </a:r>
          <a:r>
            <a:rPr lang="de-DE" sz="1200" b="0" i="0" u="none" strike="noStrike" baseline="0">
              <a:solidFill>
                <a:srgbClr val="000000"/>
              </a:solidFill>
              <a:latin typeface="Arial"/>
              <a:cs typeface="Arial"/>
            </a:rPr>
            <a:t> kennzeichnet die relative Vorzüglichkeit einzelner Produktionsverfahren. Er beinhaltet neben den Marktleistungen und variablen Kosten alle flächenbezogenen Ausgleichsleistungen.</a:t>
          </a:r>
        </a:p>
        <a:p>
          <a:pPr algn="just" rtl="0">
            <a:defRPr sz="1000"/>
          </a:pPr>
          <a:endParaRPr lang="de-DE" sz="1200" b="0" i="0" u="none" strike="noStrike" baseline="0">
            <a:solidFill>
              <a:srgbClr val="000000"/>
            </a:solidFill>
            <a:latin typeface="Arial"/>
            <a:cs typeface="Arial"/>
          </a:endParaRPr>
        </a:p>
        <a:p>
          <a:pPr algn="just" rtl="0">
            <a:defRPr sz="1000"/>
          </a:pPr>
          <a:r>
            <a:rPr lang="de-DE" sz="1200" b="0" i="0" u="none" strike="noStrike" baseline="0">
              <a:solidFill>
                <a:srgbClr val="000000"/>
              </a:solidFill>
              <a:latin typeface="Arial"/>
              <a:cs typeface="Arial"/>
            </a:rPr>
            <a:t>Am Ende der Datei ( = letzte Arbeitsblätter ) sind die Deckungsbeiträge aller Verfahren im Blatt Zus -1 sowie den dazu gehörigen Grafiken DB-1a und DB-1b gegenübergestellt. Im Blatt Zus - 2 hat der Programmnutzer die Möglichkeit, den durchschnittlichen </a:t>
          </a:r>
          <a:r>
            <a:rPr lang="de-DE" sz="1200" b="1" i="0" u="none" strike="noStrike" baseline="0">
              <a:solidFill>
                <a:srgbClr val="000000"/>
              </a:solidFill>
              <a:latin typeface="Arial"/>
              <a:cs typeface="Arial"/>
            </a:rPr>
            <a:t>Deckungsbeitrag einer Fruchtfolge</a:t>
          </a:r>
          <a:r>
            <a:rPr lang="de-DE" sz="1200" b="0" i="0" u="none" strike="noStrike" baseline="0">
              <a:solidFill>
                <a:srgbClr val="000000"/>
              </a:solidFill>
              <a:latin typeface="Arial"/>
              <a:cs typeface="Arial"/>
            </a:rPr>
            <a:t> zu kalkulieren. Dazu müssen über die Dropdown -  Objekte die gewünschten Kulturen ausgewählt werden, und anschliessend der jeweilige Flächenanteil eingegeben werden. Hierbei darf die notwendige Stilllegung nicht vergessen werden.</a:t>
          </a:r>
        </a:p>
      </xdr:txBody>
    </xdr:sp>
    <xdr:clientData/>
  </xdr:twoCellAnchor>
  <xdr:twoCellAnchor>
    <xdr:from>
      <xdr:col>1</xdr:col>
      <xdr:colOff>28575</xdr:colOff>
      <xdr:row>60</xdr:row>
      <xdr:rowOff>0</xdr:rowOff>
    </xdr:from>
    <xdr:to>
      <xdr:col>54</xdr:col>
      <xdr:colOff>0</xdr:colOff>
      <xdr:row>60</xdr:row>
      <xdr:rowOff>0</xdr:rowOff>
    </xdr:to>
    <xdr:sp macro="" textlink="">
      <xdr:nvSpPr>
        <xdr:cNvPr id="3074" name="Text 3"/>
        <xdr:cNvSpPr txBox="1">
          <a:spLocks noChangeArrowheads="1"/>
        </xdr:cNvSpPr>
      </xdr:nvSpPr>
      <xdr:spPr bwMode="auto">
        <a:xfrm>
          <a:off x="133350" y="9648825"/>
          <a:ext cx="799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just" rtl="0">
            <a:defRPr sz="1000"/>
          </a:pPr>
          <a:r>
            <a:rPr lang="de-DE" sz="1200" b="0" i="0" u="none" strike="noStrike" baseline="0">
              <a:solidFill>
                <a:srgbClr val="000000"/>
              </a:solidFill>
              <a:latin typeface="Arial"/>
              <a:cs typeface="Arial"/>
            </a:rPr>
            <a:t>Bei der Berechnung des Unternehmergewinnes / -verlustes werden neben den variablen Kosten auch die festen Spezial- und Gemeinkosten - einschließlich Lohnansatz für die Familien - AK und Pachtansatz  für die Eigentumsfläche - den Produktionsverfahren zugeteilt. Bei einer solchen Vollkostenrechnung werden die festen Spezial- und Gemeinkosten quasi wie variable Kosten behandelt. Variabel sind diese jedoch nur bei langfristiger Betrachtungsweise, wenn insbesondere die erforderlichen Investitionen an Maschinen und Gebäuden noch nicht erfolgt sind. </a:t>
          </a:r>
        </a:p>
        <a:p>
          <a:pPr algn="just" rtl="0">
            <a:defRPr sz="1000"/>
          </a:pPr>
          <a:endParaRPr lang="de-DE" sz="1200" b="0" i="0" u="none" strike="noStrike" baseline="0">
            <a:solidFill>
              <a:srgbClr val="000000"/>
            </a:solidFill>
            <a:latin typeface="Arial"/>
            <a:cs typeface="Arial"/>
          </a:endParaRPr>
        </a:p>
        <a:p>
          <a:pPr algn="just" rtl="0">
            <a:defRPr sz="1000"/>
          </a:pPr>
          <a:r>
            <a:rPr lang="de-DE" sz="1200" b="0" i="0" u="none" strike="noStrike" baseline="0">
              <a:solidFill>
                <a:srgbClr val="000000"/>
              </a:solidFill>
              <a:latin typeface="Arial"/>
              <a:cs typeface="Arial"/>
            </a:rPr>
            <a:t>Der Unternehmergewinn dient zur Entlohnung des unternehmerischen Risikos. Er kann </a:t>
          </a:r>
          <a:r>
            <a:rPr lang="de-DE" sz="1200" b="1" i="0" u="none" strike="noStrike" baseline="0">
              <a:solidFill>
                <a:srgbClr val="000000"/>
              </a:solidFill>
              <a:latin typeface="Arial"/>
              <a:cs typeface="Arial"/>
            </a:rPr>
            <a:t>nicht</a:t>
          </a:r>
          <a:r>
            <a:rPr lang="de-DE" sz="1200" b="0" i="0" u="none" strike="noStrike" baseline="0">
              <a:solidFill>
                <a:srgbClr val="000000"/>
              </a:solidFill>
              <a:latin typeface="Arial"/>
              <a:cs typeface="Arial"/>
            </a:rPr>
            <a:t> als kurzfristige Entscheidungshilfe für die Weiterführung oder Aufgabe eines Produktionsverfahrens dienen. Vielmehr stellt er eine Orientierungshilfe für die </a:t>
          </a:r>
          <a:r>
            <a:rPr lang="de-DE" sz="1200" b="1" i="0" u="none" strike="noStrike" baseline="0">
              <a:solidFill>
                <a:srgbClr val="000000"/>
              </a:solidFill>
              <a:latin typeface="Arial"/>
              <a:cs typeface="Arial"/>
            </a:rPr>
            <a:t>langfristige</a:t>
          </a:r>
          <a:r>
            <a:rPr lang="de-DE" sz="1200" b="0" i="0" u="none" strike="noStrike" baseline="0">
              <a:solidFill>
                <a:srgbClr val="000000"/>
              </a:solidFill>
              <a:latin typeface="Arial"/>
              <a:cs typeface="Arial"/>
            </a:rPr>
            <a:t> betriebliche Entwicklung dar (Konkurrenzfähigkeit von Betrieb und Standort).</a:t>
          </a:r>
        </a:p>
      </xdr:txBody>
    </xdr:sp>
    <xdr:clientData/>
  </xdr:twoCellAnchor>
  <xdr:twoCellAnchor>
    <xdr:from>
      <xdr:col>1</xdr:col>
      <xdr:colOff>0</xdr:colOff>
      <xdr:row>60</xdr:row>
      <xdr:rowOff>0</xdr:rowOff>
    </xdr:from>
    <xdr:to>
      <xdr:col>53</xdr:col>
      <xdr:colOff>132455</xdr:colOff>
      <xdr:row>60</xdr:row>
      <xdr:rowOff>0</xdr:rowOff>
    </xdr:to>
    <xdr:sp macro="" textlink="">
      <xdr:nvSpPr>
        <xdr:cNvPr id="3075" name="Text 4"/>
        <xdr:cNvSpPr txBox="1">
          <a:spLocks noChangeArrowheads="1"/>
        </xdr:cNvSpPr>
      </xdr:nvSpPr>
      <xdr:spPr bwMode="auto">
        <a:xfrm>
          <a:off x="104775" y="9648825"/>
          <a:ext cx="797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just" rtl="0">
            <a:defRPr sz="1000"/>
          </a:pPr>
          <a:r>
            <a:rPr lang="de-DE" sz="1200" b="0" i="0" u="none" strike="noStrike" baseline="0">
              <a:solidFill>
                <a:srgbClr val="000000"/>
              </a:solidFill>
              <a:latin typeface="Arial"/>
              <a:cs typeface="Arial"/>
            </a:rPr>
            <a:t>Der Mindesterlös für das Hauptprodukt (langfristig) ist der Preis, der für das Hauptprodukt erzielt werden müsste, um alle variablen und festen Kosten, einschließlich der unterstellten Kostenansätze für die eingesetzten Faktoren (Arbeit, Boden, Lieferrechte und Kapital) abzudecken. Kann der kostendeckende Erlös tatsächlich am Markt realisiert werden, entsteht ein ( positiver ) Unternehmergewinn  .</a:t>
          </a:r>
        </a:p>
        <a:p>
          <a:pPr algn="just" rtl="0">
            <a:defRPr sz="1000"/>
          </a:pPr>
          <a:r>
            <a:rPr lang="de-DE" sz="1200" b="0" i="0" u="none" strike="noStrike" baseline="0">
              <a:solidFill>
                <a:srgbClr val="000000"/>
              </a:solidFill>
              <a:latin typeface="Arial"/>
              <a:cs typeface="Arial"/>
            </a:rPr>
            <a:t>Die Berechnung des Mindesterlöses erfolgt durch Abzug der Neben- und Ausgleichsleistungen von der Summe der Kosten.</a:t>
          </a:r>
        </a:p>
      </xdr:txBody>
    </xdr:sp>
    <xdr:clientData/>
  </xdr:twoCellAnchor>
  <xdr:twoCellAnchor>
    <xdr:from>
      <xdr:col>1</xdr:col>
      <xdr:colOff>28575</xdr:colOff>
      <xdr:row>60</xdr:row>
      <xdr:rowOff>0</xdr:rowOff>
    </xdr:from>
    <xdr:to>
      <xdr:col>53</xdr:col>
      <xdr:colOff>122926</xdr:colOff>
      <xdr:row>60</xdr:row>
      <xdr:rowOff>0</xdr:rowOff>
    </xdr:to>
    <xdr:sp macro="" textlink="">
      <xdr:nvSpPr>
        <xdr:cNvPr id="3076" name="Text 5"/>
        <xdr:cNvSpPr txBox="1">
          <a:spLocks noChangeArrowheads="1"/>
        </xdr:cNvSpPr>
      </xdr:nvSpPr>
      <xdr:spPr bwMode="auto">
        <a:xfrm>
          <a:off x="133350" y="9648825"/>
          <a:ext cx="79343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just" rtl="0">
            <a:defRPr sz="1000"/>
          </a:pPr>
          <a:r>
            <a:rPr lang="de-DE" sz="1200" b="0" i="0" u="none" strike="noStrike" baseline="0">
              <a:solidFill>
                <a:srgbClr val="000000"/>
              </a:solidFill>
              <a:latin typeface="Arial"/>
              <a:cs typeface="Arial"/>
            </a:rPr>
            <a:t>Faustzahlen bergen die Gefahr in sich, die tatsächliche Situation nur sehr unvollkommen - oder sogar falsch - widerzuspiegeln, da die Ertrags- und Aufwandssituation in verschiedenen Betrieben zum Teil sehr unterschiedlich ist. Eine Differenzierung ist daher unumgänglich.</a:t>
          </a:r>
        </a:p>
        <a:p>
          <a:pPr algn="just" rtl="0">
            <a:defRPr sz="1000"/>
          </a:pPr>
          <a:r>
            <a:rPr lang="de-DE" sz="1200" b="0" i="0" u="none" strike="noStrike" baseline="0">
              <a:solidFill>
                <a:srgbClr val="000000"/>
              </a:solidFill>
              <a:latin typeface="Arial"/>
              <a:cs typeface="Arial"/>
            </a:rPr>
            <a:t> In den vorliegenden Kalkulationsgrundlagen werden die Kulturen nach Leistungsniveau, d. h. nach Höhe des Ertrags und der Anbauintensität, unterschieden. Für jede Kultur ergeben sich dadurch drei Produktionsverfahren (niedriges, mittleres bzw. hohes Leistungsniveau). Eine Differenzierung erfolgt allerdings nur auf der Ebene der variablen Kosten und des Arbeitszeitbedarfs. Die festen Maschinen- und Gebäudekosten werden dagegen einheitlich allen Kulturen bzw. Leistungsniveaus zugeteilt. Hierzu wird beispielhaft die Maschinen- und Gebäudeausstattung eines Marktfrucht(-modell)betriebes mit 100 ha LF herangezogen. Auch beim Pachtansatz wird für alle Verfahren ein einheitlicher Wert verwendet. Als Orientierung dient hierbei der durchschnittlich in Baden-Württemberg bezahlte Pachtpreis für Ackerland.</a:t>
          </a:r>
        </a:p>
        <a:p>
          <a:pPr algn="just" rtl="0">
            <a:defRPr sz="1000"/>
          </a:pPr>
          <a:r>
            <a:rPr lang="de-DE" sz="1200" b="0" i="0" u="none" strike="noStrike" baseline="0">
              <a:solidFill>
                <a:srgbClr val="000000"/>
              </a:solidFill>
              <a:latin typeface="Arial"/>
              <a:cs typeface="Arial"/>
            </a:rPr>
            <a:t>In der vierten rechten Spalte kann mit eigenen Daten gerechnet werden.</a:t>
          </a:r>
        </a:p>
      </xdr:txBody>
    </xdr:sp>
    <xdr:clientData/>
  </xdr:twoCellAnchor>
  <xdr:twoCellAnchor>
    <xdr:from>
      <xdr:col>1</xdr:col>
      <xdr:colOff>28575</xdr:colOff>
      <xdr:row>60</xdr:row>
      <xdr:rowOff>0</xdr:rowOff>
    </xdr:from>
    <xdr:to>
      <xdr:col>53</xdr:col>
      <xdr:colOff>122926</xdr:colOff>
      <xdr:row>60</xdr:row>
      <xdr:rowOff>0</xdr:rowOff>
    </xdr:to>
    <xdr:sp macro="" textlink="">
      <xdr:nvSpPr>
        <xdr:cNvPr id="3077" name="Text 6"/>
        <xdr:cNvSpPr txBox="1">
          <a:spLocks noChangeArrowheads="1"/>
        </xdr:cNvSpPr>
      </xdr:nvSpPr>
      <xdr:spPr bwMode="auto">
        <a:xfrm>
          <a:off x="133350" y="9648825"/>
          <a:ext cx="79343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just" rtl="0">
            <a:defRPr sz="1000"/>
          </a:pPr>
          <a:r>
            <a:rPr lang="de-DE" sz="1200" b="0" i="0" u="none" strike="noStrike" baseline="0">
              <a:solidFill>
                <a:srgbClr val="000000"/>
              </a:solidFill>
              <a:latin typeface="Arial"/>
              <a:cs typeface="Arial"/>
            </a:rPr>
            <a:t>Die Kalkulationsdaten Marktfrüchte erscheinen jeweils für das bevorstehende Erntejahr in gedruckter Form als Heft (bzw. Datensammlung). Daneben liegen sie auch als Rechenprogramm für eigene Berechnungen vor.</a:t>
          </a:r>
        </a:p>
      </xdr:txBody>
    </xdr:sp>
    <xdr:clientData/>
  </xdr:twoCellAnchor>
  <xdr:twoCellAnchor>
    <xdr:from>
      <xdr:col>1</xdr:col>
      <xdr:colOff>66675</xdr:colOff>
      <xdr:row>60</xdr:row>
      <xdr:rowOff>0</xdr:rowOff>
    </xdr:from>
    <xdr:to>
      <xdr:col>55</xdr:col>
      <xdr:colOff>122931</xdr:colOff>
      <xdr:row>60</xdr:row>
      <xdr:rowOff>0</xdr:rowOff>
    </xdr:to>
    <xdr:sp macro="" textlink="">
      <xdr:nvSpPr>
        <xdr:cNvPr id="3078" name="Text 7"/>
        <xdr:cNvSpPr txBox="1">
          <a:spLocks noChangeArrowheads="1"/>
        </xdr:cNvSpPr>
      </xdr:nvSpPr>
      <xdr:spPr bwMode="auto">
        <a:xfrm>
          <a:off x="171450" y="9648825"/>
          <a:ext cx="822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just" rtl="0">
            <a:defRPr sz="1000"/>
          </a:pPr>
          <a:r>
            <a:rPr lang="de-DE" sz="1200" b="0" i="0" u="none" strike="noStrike" baseline="0">
              <a:solidFill>
                <a:srgbClr val="000000"/>
              </a:solidFill>
              <a:latin typeface="Arial"/>
              <a:cs typeface="Arial"/>
            </a:rPr>
            <a:t>Die einzelnen EXCEL-Tabellenblätter des Rechenprogramms sind geschützt (ohne Kennwort).  Für eigene Berechnungen können in die </a:t>
          </a:r>
          <a:r>
            <a:rPr lang="de-DE" sz="1200" b="1" i="0" u="none" strike="noStrike" baseline="0">
              <a:solidFill>
                <a:srgbClr val="000000"/>
              </a:solidFill>
              <a:latin typeface="Arial"/>
              <a:cs typeface="Arial"/>
            </a:rPr>
            <a:t>gelb</a:t>
          </a:r>
          <a:r>
            <a:rPr lang="de-DE" sz="1200" b="0" i="0" u="none" strike="noStrike" baseline="0">
              <a:solidFill>
                <a:srgbClr val="000000"/>
              </a:solidFill>
              <a:latin typeface="Arial"/>
              <a:cs typeface="Arial"/>
            </a:rPr>
            <a:t> hinterlegten Datenfelder Daten, z. B. des eigenen Betriebes, eingegeben werden. Die vorhandenen Daten sind hierzu mit den eigenen Betriebsdaten zu überschreiben.</a:t>
          </a:r>
        </a:p>
        <a:p>
          <a:pPr algn="just" rtl="0">
            <a:defRPr sz="1000"/>
          </a:pPr>
          <a:r>
            <a:rPr lang="de-DE" sz="1200" b="0" i="0" u="none" strike="noStrike" baseline="0">
              <a:solidFill>
                <a:srgbClr val="000000"/>
              </a:solidFill>
              <a:latin typeface="Arial"/>
              <a:cs typeface="Arial"/>
            </a:rPr>
            <a:t>Die Dateneingaben in den Arbeitsblättern "Ausglleist", "Preise", "Arb.gänge" und "Festkost" werden automatisch in alle Produktionsverfahren übernommen.</a:t>
          </a:r>
        </a:p>
        <a:p>
          <a:pPr algn="just" rtl="0">
            <a:defRPr sz="1000"/>
          </a:pPr>
          <a:r>
            <a:rPr lang="de-DE" sz="1200" b="0" i="0" u="none" strike="noStrike" baseline="0">
              <a:solidFill>
                <a:srgbClr val="000000"/>
              </a:solidFill>
              <a:latin typeface="Arial"/>
              <a:cs typeface="Arial"/>
            </a:rPr>
            <a:t>Auf der </a:t>
          </a:r>
          <a:r>
            <a:rPr lang="de-DE" sz="1200" b="1" i="0" u="none" strike="noStrike" baseline="0">
              <a:solidFill>
                <a:srgbClr val="000000"/>
              </a:solidFill>
              <a:latin typeface="Arial"/>
              <a:cs typeface="Arial"/>
            </a:rPr>
            <a:t>ersten Seite</a:t>
          </a:r>
          <a:r>
            <a:rPr lang="de-DE" sz="1200" b="0" i="0" u="none" strike="noStrike" baseline="0">
              <a:solidFill>
                <a:srgbClr val="000000"/>
              </a:solidFill>
              <a:latin typeface="Arial"/>
              <a:cs typeface="Arial"/>
            </a:rPr>
            <a:t> der Produktionsverfahren sind 3 Ertragsniveaus vorgegeben. Sie können den individuellen Verhältnissen durch Überschreibung ( z.B. statt 50 -60 -70 dt  in   55 - 70 - 85 dt ) angepasst werden. Die variablen Kosten für Düngung, Trocknung und Hagelversicherung werden dabei automatisch angepasst. Hier sind lediglich die Kostenannahmen in den gelben Feldern zu überprüfen, geg.falls zu ändern. Ansonsten sind vor allem die verschiedenen MEKA - Massnahmen, der Pflanzenschutzaufwand und die Arbeitsgänge den individuellen Verhältnissen anzupassen.</a:t>
          </a:r>
        </a:p>
        <a:p>
          <a:pPr algn="just" rtl="0">
            <a:defRPr sz="1000"/>
          </a:pPr>
          <a:r>
            <a:rPr lang="de-DE" sz="1200" b="0" i="0" u="none" strike="noStrike" baseline="0">
              <a:solidFill>
                <a:srgbClr val="000000"/>
              </a:solidFill>
              <a:latin typeface="Arial"/>
              <a:cs typeface="Arial"/>
            </a:rPr>
            <a:t>Sollen spätere Erntejahre (z. B. Ernte 2003) gerechnet werden, sind zunächst in den Tabellenblättern "Ausgleichsleist" und "Preise" die Grunddaten für das zu rechnende Erntejahr zu ergänzen. Anschließend ist im Tabellenblatt "Ausgleichsleist" das Erntejahr, das gerechnet werden soll, in das entsprechende gelb hinterlegte Datenfeld einzugeben. </a:t>
          </a:r>
        </a:p>
        <a:p>
          <a:pPr algn="just" rtl="0">
            <a:defRPr sz="1000"/>
          </a:pPr>
          <a:r>
            <a:rPr lang="de-DE" sz="1200" b="0" i="0" u="none" strike="noStrike" baseline="0">
              <a:solidFill>
                <a:srgbClr val="000000"/>
              </a:solidFill>
              <a:latin typeface="Arial"/>
              <a:cs typeface="Arial"/>
            </a:rPr>
            <a:t>Werden zusätzliche Tabellenblätter zur Berechnung weiterer Verfahren benötigt, können vorhandene Tabellenblätter kopiert und weitere Verfahren eingegeben werden (vorhandene Daten überschreiben). Zum Kopieren von Verfahren sind die beiden Tabellenblätter a) und b) jeweils gemeinsam zu markieren und dann zu kopieren (werden die Blätter a) und b) einzeln kopiert, werden die zugehörigen Verknüpfungen falsch übernommen!). Vor der Eingabe eigener Daten empfiehlt es sich, eine Sicherheitskopie der Original-Datei anzufertigen.</a:t>
          </a:r>
        </a:p>
      </xdr:txBody>
    </xdr:sp>
    <xdr:clientData/>
  </xdr:twoCellAnchor>
  <xdr:twoCellAnchor>
    <xdr:from>
      <xdr:col>1</xdr:col>
      <xdr:colOff>0</xdr:colOff>
      <xdr:row>60</xdr:row>
      <xdr:rowOff>0</xdr:rowOff>
    </xdr:from>
    <xdr:to>
      <xdr:col>54</xdr:col>
      <xdr:colOff>0</xdr:colOff>
      <xdr:row>60</xdr:row>
      <xdr:rowOff>0</xdr:rowOff>
    </xdr:to>
    <xdr:sp macro="" textlink="">
      <xdr:nvSpPr>
        <xdr:cNvPr id="3079" name="Text 9"/>
        <xdr:cNvSpPr txBox="1">
          <a:spLocks noChangeArrowheads="1"/>
        </xdr:cNvSpPr>
      </xdr:nvSpPr>
      <xdr:spPr bwMode="auto">
        <a:xfrm>
          <a:off x="104775" y="9648825"/>
          <a:ext cx="80200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just" rtl="0">
            <a:defRPr sz="1000"/>
          </a:pPr>
          <a:r>
            <a:rPr lang="de-DE" sz="1200" b="0" i="0" u="none" strike="noStrike" baseline="0">
              <a:solidFill>
                <a:srgbClr val="000000"/>
              </a:solidFill>
              <a:latin typeface="Arial"/>
              <a:cs typeface="Arial"/>
            </a:rPr>
            <a:t>In der Landwirtschaft wird häufig keine zusätzliche Entlohnung des unternehmerischen Risikos erzielt, sodass ein Unternehmerverlust entsteht.</a:t>
          </a:r>
        </a:p>
        <a:p>
          <a:pPr algn="just" rtl="0">
            <a:defRPr sz="1000"/>
          </a:pPr>
          <a:r>
            <a:rPr lang="de-DE" sz="1200" b="0" i="0" u="none" strike="noStrike" baseline="0">
              <a:solidFill>
                <a:srgbClr val="000000"/>
              </a:solidFill>
              <a:latin typeface="Arial"/>
              <a:cs typeface="Arial"/>
            </a:rPr>
            <a:t>Dies bedeutet, dass die tatsächliche Entlohnung der eingesetzten betrieblichen Faktoren niedriger ist als kalkuliert wurde.</a:t>
          </a:r>
        </a:p>
        <a:p>
          <a:pPr algn="just" rtl="0">
            <a:defRPr sz="1000"/>
          </a:pPr>
          <a:r>
            <a:rPr lang="de-DE" sz="1200" b="0" i="0" u="none" strike="noStrike" baseline="0">
              <a:solidFill>
                <a:srgbClr val="000000"/>
              </a:solidFill>
              <a:latin typeface="Arial"/>
              <a:cs typeface="Arial"/>
            </a:rPr>
            <a:t>Daher wird zusätzlich die tatsächliche Entlohnung der Arbeit und die Verwertung der Fläche ermittelt. Letztere entspricht dem langfristig zahlbaren Pachtpreis.</a:t>
          </a:r>
        </a:p>
        <a:p>
          <a:pPr algn="just" rtl="0">
            <a:defRPr sz="1000"/>
          </a:pPr>
          <a:r>
            <a:rPr lang="de-DE" sz="1200" b="0" i="0" u="none" strike="noStrike" baseline="0">
              <a:solidFill>
                <a:srgbClr val="000000"/>
              </a:solidFill>
              <a:latin typeface="Arial"/>
              <a:cs typeface="Arial"/>
            </a:rPr>
            <a:t> </a:t>
          </a:r>
        </a:p>
      </xdr:txBody>
    </xdr:sp>
    <xdr:clientData/>
  </xdr:twoCellAnchor>
  <xdr:twoCellAnchor>
    <xdr:from>
      <xdr:col>1</xdr:col>
      <xdr:colOff>9525</xdr:colOff>
      <xdr:row>60</xdr:row>
      <xdr:rowOff>0</xdr:rowOff>
    </xdr:from>
    <xdr:to>
      <xdr:col>53</xdr:col>
      <xdr:colOff>57150</xdr:colOff>
      <xdr:row>60</xdr:row>
      <xdr:rowOff>0</xdr:rowOff>
    </xdr:to>
    <xdr:sp macro="" textlink="">
      <xdr:nvSpPr>
        <xdr:cNvPr id="3080" name="Text 10"/>
        <xdr:cNvSpPr txBox="1">
          <a:spLocks noChangeArrowheads="1"/>
        </xdr:cNvSpPr>
      </xdr:nvSpPr>
      <xdr:spPr bwMode="auto">
        <a:xfrm>
          <a:off x="114300" y="9648825"/>
          <a:ext cx="7896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just" rtl="0">
            <a:defRPr sz="1000"/>
          </a:pPr>
          <a:r>
            <a:rPr lang="de-DE" sz="1200" b="0" i="0" u="none" strike="noStrike" baseline="0">
              <a:solidFill>
                <a:srgbClr val="000000"/>
              </a:solidFill>
              <a:latin typeface="Arial"/>
              <a:cs typeface="Arial"/>
            </a:rPr>
            <a:t>Diese Kennzahl ist wichtig, wenn Betriebe oder Produktionverfahren mit unterschiedlicher Mechanisierung ( z.B. eigener Mädrescher oder Lohndrusch ) verglichen werden.</a:t>
          </a:r>
        </a:p>
      </xdr:txBody>
    </xdr:sp>
    <xdr:clientData/>
  </xdr:twoCellAnchor>
  <xdr:twoCellAnchor>
    <xdr:from>
      <xdr:col>10</xdr:col>
      <xdr:colOff>76200</xdr:colOff>
      <xdr:row>31</xdr:row>
      <xdr:rowOff>0</xdr:rowOff>
    </xdr:from>
    <xdr:to>
      <xdr:col>59</xdr:col>
      <xdr:colOff>417312</xdr:colOff>
      <xdr:row>31</xdr:row>
      <xdr:rowOff>0</xdr:rowOff>
    </xdr:to>
    <xdr:sp macro="" textlink="">
      <xdr:nvSpPr>
        <xdr:cNvPr id="3090" name="Text 18"/>
        <xdr:cNvSpPr txBox="1">
          <a:spLocks noChangeArrowheads="1"/>
        </xdr:cNvSpPr>
      </xdr:nvSpPr>
      <xdr:spPr bwMode="auto">
        <a:xfrm>
          <a:off x="1666875" y="4886325"/>
          <a:ext cx="822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just" rtl="0">
            <a:defRPr sz="1000"/>
          </a:pPr>
          <a:endParaRPr lang="de-DE" sz="1300" b="0" i="0" u="none" strike="noStrike" baseline="0">
            <a:solidFill>
              <a:srgbClr val="000000"/>
            </a:solidFill>
            <a:latin typeface="Arial"/>
            <a:cs typeface="Arial"/>
          </a:endParaRPr>
        </a:p>
        <a:p>
          <a:pPr algn="just" rtl="0">
            <a:defRPr sz="1000"/>
          </a:pPr>
          <a:endParaRPr lang="de-DE" sz="1300" b="0" i="0" u="none" strike="noStrike" baseline="0">
            <a:solidFill>
              <a:srgbClr val="000000"/>
            </a:solidFill>
            <a:latin typeface="Arial"/>
            <a:cs typeface="Arial"/>
          </a:endParaRPr>
        </a:p>
      </xdr:txBody>
    </xdr:sp>
    <xdr:clientData/>
  </xdr:twoCellAnchor>
  <xdr:twoCellAnchor>
    <xdr:from>
      <xdr:col>1</xdr:col>
      <xdr:colOff>9525</xdr:colOff>
      <xdr:row>0</xdr:row>
      <xdr:rowOff>38999</xdr:rowOff>
    </xdr:from>
    <xdr:to>
      <xdr:col>12</xdr:col>
      <xdr:colOff>28575</xdr:colOff>
      <xdr:row>0</xdr:row>
      <xdr:rowOff>238158</xdr:rowOff>
    </xdr:to>
    <xdr:sp macro="" textlink="">
      <xdr:nvSpPr>
        <xdr:cNvPr id="3103" name="Rectangle 31">
          <a:hlinkClick xmlns:r="http://schemas.openxmlformats.org/officeDocument/2006/relationships" r:id="rId1"/>
        </xdr:cNvPr>
        <xdr:cNvSpPr>
          <a:spLocks noChangeArrowheads="1"/>
        </xdr:cNvSpPr>
      </xdr:nvSpPr>
      <xdr:spPr bwMode="auto">
        <a:xfrm>
          <a:off x="114300" y="47625"/>
          <a:ext cx="1790700"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twoCellAnchor editAs="oneCell">
    <xdr:from>
      <xdr:col>42</xdr:col>
      <xdr:colOff>69011</xdr:colOff>
      <xdr:row>228</xdr:row>
      <xdr:rowOff>750498</xdr:rowOff>
    </xdr:from>
    <xdr:to>
      <xdr:col>52</xdr:col>
      <xdr:colOff>43132</xdr:colOff>
      <xdr:row>229</xdr:row>
      <xdr:rowOff>0</xdr:rowOff>
    </xdr:to>
    <xdr:pic>
      <xdr:nvPicPr>
        <xdr:cNvPr id="13714170" name="Picture 32">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25087" y="42605864"/>
          <a:ext cx="1449238" cy="15527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30</xdr:col>
      <xdr:colOff>17253</xdr:colOff>
      <xdr:row>231</xdr:row>
      <xdr:rowOff>267419</xdr:rowOff>
    </xdr:from>
    <xdr:to>
      <xdr:col>35</xdr:col>
      <xdr:colOff>77638</xdr:colOff>
      <xdr:row>232</xdr:row>
      <xdr:rowOff>8626</xdr:rowOff>
    </xdr:to>
    <xdr:pic>
      <xdr:nvPicPr>
        <xdr:cNvPr id="13714171" name="Picture 33">
          <a:hlinkClick xmlns:r="http://schemas.openxmlformats.org/officeDocument/2006/relationships" r:id="rId4"/>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01396" y="43572023"/>
          <a:ext cx="905774" cy="207034"/>
        </a:xfrm>
        <a:prstGeom prst="rect">
          <a:avLst/>
        </a:prstGeom>
        <a:solidFill>
          <a:srgbClr xmlns:mc="http://schemas.openxmlformats.org/markup-compatibility/2006" xmlns:a14="http://schemas.microsoft.com/office/drawing/2010/main" val="CCFFCC" mc:Ignorable="a14" a14:legacySpreadsheetColorIndex="42"/>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11</xdr:col>
      <xdr:colOff>60385</xdr:colOff>
      <xdr:row>233</xdr:row>
      <xdr:rowOff>293298</xdr:rowOff>
    </xdr:from>
    <xdr:to>
      <xdr:col>17</xdr:col>
      <xdr:colOff>129396</xdr:colOff>
      <xdr:row>234</xdr:row>
      <xdr:rowOff>25879</xdr:rowOff>
    </xdr:to>
    <xdr:pic>
      <xdr:nvPicPr>
        <xdr:cNvPr id="13714172" name="Picture 34">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46053" y="44288015"/>
          <a:ext cx="1061049" cy="21566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39</xdr:col>
      <xdr:colOff>86264</xdr:colOff>
      <xdr:row>71</xdr:row>
      <xdr:rowOff>138023</xdr:rowOff>
    </xdr:from>
    <xdr:to>
      <xdr:col>49</xdr:col>
      <xdr:colOff>51758</xdr:colOff>
      <xdr:row>72</xdr:row>
      <xdr:rowOff>129396</xdr:rowOff>
    </xdr:to>
    <xdr:pic>
      <xdr:nvPicPr>
        <xdr:cNvPr id="13714173" name="Picture 4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202392" y="11516264"/>
          <a:ext cx="1431985" cy="18978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28575</xdr:colOff>
      <xdr:row>0</xdr:row>
      <xdr:rowOff>38999</xdr:rowOff>
    </xdr:from>
    <xdr:to>
      <xdr:col>4</xdr:col>
      <xdr:colOff>521193</xdr:colOff>
      <xdr:row>0</xdr:row>
      <xdr:rowOff>238158</xdr:rowOff>
    </xdr:to>
    <xdr:sp macro="" textlink="">
      <xdr:nvSpPr>
        <xdr:cNvPr id="4102" name="Rectangle 6">
          <a:hlinkClick xmlns:r="http://schemas.openxmlformats.org/officeDocument/2006/relationships" r:id="rId1"/>
        </xdr:cNvPr>
        <xdr:cNvSpPr>
          <a:spLocks noChangeArrowheads="1"/>
        </xdr:cNvSpPr>
      </xdr:nvSpPr>
      <xdr:spPr bwMode="auto">
        <a:xfrm>
          <a:off x="238125" y="47625"/>
          <a:ext cx="168592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15</xdr:col>
          <xdr:colOff>104775</xdr:colOff>
          <xdr:row>3</xdr:row>
          <xdr:rowOff>47625</xdr:rowOff>
        </xdr:from>
        <xdr:to>
          <xdr:col>15</xdr:col>
          <xdr:colOff>857250</xdr:colOff>
          <xdr:row>3</xdr:row>
          <xdr:rowOff>266700</xdr:rowOff>
        </xdr:to>
        <xdr:sp macro="" textlink="">
          <xdr:nvSpPr>
            <xdr:cNvPr id="4374" name="Drop Down 278" hidden="1">
              <a:extLst>
                <a:ext uri="{63B3BB69-23CF-44E3-9099-C40C66FF867C}">
                  <a14:compatExt spid="_x0000_s4374"/>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xdr:row>
          <xdr:rowOff>66675</xdr:rowOff>
        </xdr:from>
        <xdr:to>
          <xdr:col>15</xdr:col>
          <xdr:colOff>876300</xdr:colOff>
          <xdr:row>4</xdr:row>
          <xdr:rowOff>295275</xdr:rowOff>
        </xdr:to>
        <xdr:sp macro="" textlink="">
          <xdr:nvSpPr>
            <xdr:cNvPr id="4380" name="Drop Down 284" hidden="1">
              <a:extLst>
                <a:ext uri="{63B3BB69-23CF-44E3-9099-C40C66FF867C}">
                  <a14:compatExt spid="_x0000_s4380"/>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twoCellAnchor editAs="oneCell">
    <xdr:from>
      <xdr:col>23</xdr:col>
      <xdr:colOff>0</xdr:colOff>
      <xdr:row>19</xdr:row>
      <xdr:rowOff>232913</xdr:rowOff>
    </xdr:from>
    <xdr:to>
      <xdr:col>34</xdr:col>
      <xdr:colOff>112143</xdr:colOff>
      <xdr:row>26</xdr:row>
      <xdr:rowOff>228600</xdr:rowOff>
    </xdr:to>
    <xdr:pic>
      <xdr:nvPicPr>
        <xdr:cNvPr id="11450969"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61057" y="6452558"/>
          <a:ext cx="9195758" cy="1708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29</xdr:row>
      <xdr:rowOff>0</xdr:rowOff>
    </xdr:from>
    <xdr:to>
      <xdr:col>25</xdr:col>
      <xdr:colOff>733245</xdr:colOff>
      <xdr:row>33</xdr:row>
      <xdr:rowOff>120770</xdr:rowOff>
    </xdr:to>
    <xdr:pic>
      <xdr:nvPicPr>
        <xdr:cNvPr id="11450970" name="Grafik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61057" y="8428008"/>
          <a:ext cx="2337758" cy="1121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43132</xdr:colOff>
      <xdr:row>97</xdr:row>
      <xdr:rowOff>163901</xdr:rowOff>
    </xdr:from>
    <xdr:to>
      <xdr:col>15</xdr:col>
      <xdr:colOff>595681</xdr:colOff>
      <xdr:row>118</xdr:row>
      <xdr:rowOff>17436</xdr:rowOff>
    </xdr:to>
    <xdr:pic>
      <xdr:nvPicPr>
        <xdr:cNvPr id="2" name="Grafik 1"/>
        <xdr:cNvPicPr>
          <a:picLocks noChangeAspect="1"/>
        </xdr:cNvPicPr>
      </xdr:nvPicPr>
      <xdr:blipFill>
        <a:blip xmlns:r="http://schemas.openxmlformats.org/officeDocument/2006/relationships" r:embed="rId4"/>
        <a:stretch>
          <a:fillRect/>
        </a:stretch>
      </xdr:blipFill>
      <xdr:spPr>
        <a:xfrm>
          <a:off x="181155" y="25698090"/>
          <a:ext cx="8368081" cy="3338606"/>
        </a:xfrm>
        <a:prstGeom prst="rect">
          <a:avLst/>
        </a:prstGeom>
      </xdr:spPr>
    </xdr:pic>
    <xdr:clientData/>
  </xdr:twoCellAnchor>
  <xdr:twoCellAnchor editAs="oneCell">
    <xdr:from>
      <xdr:col>0</xdr:col>
      <xdr:colOff>63500</xdr:colOff>
      <xdr:row>120</xdr:row>
      <xdr:rowOff>88900</xdr:rowOff>
    </xdr:from>
    <xdr:to>
      <xdr:col>21</xdr:col>
      <xdr:colOff>265102</xdr:colOff>
      <xdr:row>146</xdr:row>
      <xdr:rowOff>151874</xdr:rowOff>
    </xdr:to>
    <xdr:pic>
      <xdr:nvPicPr>
        <xdr:cNvPr id="4" name="Grafik 3"/>
        <xdr:cNvPicPr>
          <a:picLocks noChangeAspect="1"/>
        </xdr:cNvPicPr>
      </xdr:nvPicPr>
      <xdr:blipFill>
        <a:blip xmlns:r="http://schemas.openxmlformats.org/officeDocument/2006/relationships" r:embed="rId5"/>
        <a:stretch>
          <a:fillRect/>
        </a:stretch>
      </xdr:blipFill>
      <xdr:spPr>
        <a:xfrm>
          <a:off x="63500" y="29514800"/>
          <a:ext cx="12780952" cy="4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xdr:colOff>
      <xdr:row>0</xdr:row>
      <xdr:rowOff>38999</xdr:rowOff>
    </xdr:from>
    <xdr:to>
      <xdr:col>4</xdr:col>
      <xdr:colOff>891837</xdr:colOff>
      <xdr:row>0</xdr:row>
      <xdr:rowOff>257280</xdr:rowOff>
    </xdr:to>
    <xdr:sp macro="" textlink="">
      <xdr:nvSpPr>
        <xdr:cNvPr id="10251" name="Rectangle 11">
          <a:hlinkClick xmlns:r="http://schemas.openxmlformats.org/officeDocument/2006/relationships" r:id="rId1"/>
        </xdr:cNvPr>
        <xdr:cNvSpPr>
          <a:spLocks noChangeArrowheads="1"/>
        </xdr:cNvSpPr>
      </xdr:nvSpPr>
      <xdr:spPr bwMode="auto">
        <a:xfrm>
          <a:off x="161925" y="47625"/>
          <a:ext cx="2209800" cy="20955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28575</xdr:colOff>
      <xdr:row>0</xdr:row>
      <xdr:rowOff>38999</xdr:rowOff>
    </xdr:from>
    <xdr:to>
      <xdr:col>3</xdr:col>
      <xdr:colOff>1196442</xdr:colOff>
      <xdr:row>0</xdr:row>
      <xdr:rowOff>238158</xdr:rowOff>
    </xdr:to>
    <xdr:sp macro="" textlink="">
      <xdr:nvSpPr>
        <xdr:cNvPr id="41985" name="Rectangle 1">
          <a:hlinkClick xmlns:r="http://schemas.openxmlformats.org/officeDocument/2006/relationships" r:id="rId1"/>
        </xdr:cNvPr>
        <xdr:cNvSpPr>
          <a:spLocks noChangeArrowheads="1"/>
        </xdr:cNvSpPr>
      </xdr:nvSpPr>
      <xdr:spPr bwMode="auto">
        <a:xfrm>
          <a:off x="161925" y="47625"/>
          <a:ext cx="1571625" cy="1905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xdr:col>
      <xdr:colOff>36971</xdr:colOff>
      <xdr:row>0</xdr:row>
      <xdr:rowOff>49295</xdr:rowOff>
    </xdr:from>
    <xdr:to>
      <xdr:col>1</xdr:col>
      <xdr:colOff>2242869</xdr:colOff>
      <xdr:row>0</xdr:row>
      <xdr:rowOff>301295</xdr:rowOff>
    </xdr:to>
    <xdr:sp macro="" textlink="">
      <xdr:nvSpPr>
        <xdr:cNvPr id="43009" name="Rectangle 1">
          <a:hlinkClick xmlns:r="http://schemas.openxmlformats.org/officeDocument/2006/relationships" r:id="rId1"/>
        </xdr:cNvPr>
        <xdr:cNvSpPr>
          <a:spLocks noChangeArrowheads="1"/>
        </xdr:cNvSpPr>
      </xdr:nvSpPr>
      <xdr:spPr bwMode="auto">
        <a:xfrm>
          <a:off x="110911" y="49295"/>
          <a:ext cx="2205898" cy="252000"/>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600" b="1" i="0" u="sng" strike="noStrike" baseline="0">
              <a:solidFill>
                <a:srgbClr val="000000"/>
              </a:solidFill>
              <a:latin typeface="Arial Narrow"/>
            </a:rPr>
            <a:t>Zum Inhaltsverzeichnis</a:t>
          </a:r>
        </a:p>
      </xdr:txBody>
    </xdr:sp>
    <xdr:clientData fPrintsWithSheet="0"/>
  </xdr:twoCellAnchor>
  <xdr:twoCellAnchor>
    <xdr:from>
      <xdr:col>2</xdr:col>
      <xdr:colOff>237226</xdr:colOff>
      <xdr:row>0</xdr:row>
      <xdr:rowOff>47625</xdr:rowOff>
    </xdr:from>
    <xdr:to>
      <xdr:col>4</xdr:col>
      <xdr:colOff>494401</xdr:colOff>
      <xdr:row>0</xdr:row>
      <xdr:rowOff>247650</xdr:rowOff>
    </xdr:to>
    <xdr:sp macro="" textlink="">
      <xdr:nvSpPr>
        <xdr:cNvPr id="43010" name="Rectangle 2">
          <a:hlinkClick xmlns:r="http://schemas.openxmlformats.org/officeDocument/2006/relationships" r:id="rId2"/>
        </xdr:cNvPr>
        <xdr:cNvSpPr>
          <a:spLocks noChangeArrowheads="1"/>
        </xdr:cNvSpPr>
      </xdr:nvSpPr>
      <xdr:spPr bwMode="auto">
        <a:xfrm>
          <a:off x="3000375" y="47625"/>
          <a:ext cx="1752600" cy="200025"/>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Durchschnitt-Kühe</a:t>
          </a:r>
        </a:p>
      </xdr:txBody>
    </xdr:sp>
    <xdr:clientData fPrintsWithSheet="0"/>
  </xdr:twoCellAnchor>
  <xdr:twoCellAnchor>
    <xdr:from>
      <xdr:col>1</xdr:col>
      <xdr:colOff>1158405</xdr:colOff>
      <xdr:row>3</xdr:row>
      <xdr:rowOff>61620</xdr:rowOff>
    </xdr:from>
    <xdr:to>
      <xdr:col>1</xdr:col>
      <xdr:colOff>2489337</xdr:colOff>
      <xdr:row>3</xdr:row>
      <xdr:rowOff>406677</xdr:rowOff>
    </xdr:to>
    <xdr:sp macro="" textlink="$W$2">
      <xdr:nvSpPr>
        <xdr:cNvPr id="2" name="Abgerundetes Rechteck 1"/>
        <xdr:cNvSpPr/>
      </xdr:nvSpPr>
      <xdr:spPr bwMode="auto">
        <a:xfrm>
          <a:off x="1232345" y="788703"/>
          <a:ext cx="1330932" cy="345057"/>
        </a:xfrm>
        <a:prstGeom prst="roundRect">
          <a:avLst/>
        </a:prstGeom>
        <a:solidFill>
          <a:srgbClr val="FFE0C1"/>
        </a:solidFill>
        <a:ln w="12700" cap="flat" cmpd="sng" algn="ctr">
          <a:solidFill>
            <a:srgbClr val="060606">
              <a:alpha val="50000"/>
            </a:srgb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fld id="{D5DBE7F7-0EF9-43A4-BAD1-0111246B676C}" type="TxLink">
            <a:rPr lang="en-US" sz="1100" b="1" i="0" u="none" strike="noStrike">
              <a:solidFill>
                <a:srgbClr val="000000"/>
              </a:solidFill>
              <a:latin typeface="Arial"/>
              <a:cs typeface="Arial"/>
            </a:rPr>
            <a:pPr algn="ctr"/>
            <a:t>mit Mwst</a:t>
          </a:fld>
          <a:endParaRPr lang="de-DE"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60385</xdr:colOff>
      <xdr:row>1</xdr:row>
      <xdr:rowOff>69011</xdr:rowOff>
    </xdr:from>
    <xdr:to>
      <xdr:col>9</xdr:col>
      <xdr:colOff>1492370</xdr:colOff>
      <xdr:row>36</xdr:row>
      <xdr:rowOff>34506</xdr:rowOff>
    </xdr:to>
    <xdr:graphicFrame macro="">
      <xdr:nvGraphicFramePr>
        <xdr:cNvPr id="11453840"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94351</xdr:colOff>
      <xdr:row>0</xdr:row>
      <xdr:rowOff>19050</xdr:rowOff>
    </xdr:from>
    <xdr:to>
      <xdr:col>2</xdr:col>
      <xdr:colOff>495278</xdr:colOff>
      <xdr:row>0</xdr:row>
      <xdr:rowOff>238125</xdr:rowOff>
    </xdr:to>
    <xdr:sp macro="" textlink="">
      <xdr:nvSpPr>
        <xdr:cNvPr id="47106" name="Rectangle 2">
          <a:hlinkClick xmlns:r="http://schemas.openxmlformats.org/officeDocument/2006/relationships" r:id="rId2"/>
        </xdr:cNvPr>
        <xdr:cNvSpPr>
          <a:spLocks noChangeArrowheads="1"/>
        </xdr:cNvSpPr>
      </xdr:nvSpPr>
      <xdr:spPr bwMode="auto">
        <a:xfrm>
          <a:off x="85725" y="19050"/>
          <a:ext cx="1638300" cy="219075"/>
        </a:xfrm>
        <a:prstGeom prst="rect">
          <a:avLst/>
        </a:prstGeom>
        <a:solidFill>
          <a:srgbClr xmlns:mc="http://schemas.openxmlformats.org/markup-compatibility/2006" xmlns:a14="http://schemas.microsoft.com/office/drawing/2010/main" val="69FFFF" mc:Ignorable="a14" a14:legacySpreadsheetColorIndex="41"/>
        </a:solidFill>
        <a:ln w="12700">
          <a:solidFill>
            <a:srgbClr xmlns:mc="http://schemas.openxmlformats.org/markup-compatibility/2006" xmlns:a14="http://schemas.microsoft.com/office/drawing/2010/main" val="000000" mc:Ignorable="a14" a14:legacySpreadsheetColorIndex="64">
              <a:alpha val="50000"/>
            </a:srgbClr>
          </a:solidFill>
          <a:miter lim="800000"/>
          <a:headEnd/>
          <a:tailEnd/>
        </a:ln>
      </xdr:spPr>
      <xdr:txBody>
        <a:bodyPr vertOverflow="clip" wrap="square" lIns="27432" tIns="22860" rIns="0" bIns="0" anchor="t" upright="1"/>
        <a:lstStyle/>
        <a:p>
          <a:pPr algn="l" rtl="0">
            <a:defRPr sz="1000"/>
          </a:pPr>
          <a:r>
            <a:rPr lang="de-DE" sz="1000" b="1" i="0" u="sng" strike="noStrike" baseline="0">
              <a:solidFill>
                <a:srgbClr val="000000"/>
              </a:solidFill>
              <a:latin typeface="Arial Narrow"/>
            </a:rPr>
            <a:t>Zum Inhaltsverzeichnis</a:t>
          </a:r>
        </a:p>
      </xdr:txBody>
    </xdr:sp>
    <xdr:clientData fPrintsWithSheet="0"/>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E0C1"/>
        </a:solidFill>
        <a:ln w="12700" cap="flat" cmpd="sng" algn="ctr">
          <a:solidFill>
            <a:srgbClr val="060606">
              <a:alpha val="50000"/>
            </a:srgb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FFE0C1"/>
        </a:solidFill>
        <a:ln w="12700" cap="flat" cmpd="sng" algn="ctr">
          <a:solidFill>
            <a:srgbClr val="060606">
              <a:alpha val="50000"/>
            </a:srgb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2.bin"/><Relationship Id="rId5" Type="http://schemas.openxmlformats.org/officeDocument/2006/relationships/comments" Target="../comments3.xml"/><Relationship Id="rId4" Type="http://schemas.openxmlformats.org/officeDocument/2006/relationships/ctrlProp" Target="../ctrlProps/ctrlProp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5.bin"/><Relationship Id="rId5" Type="http://schemas.openxmlformats.org/officeDocument/2006/relationships/comments" Target="../comments4.xml"/><Relationship Id="rId4" Type="http://schemas.openxmlformats.org/officeDocument/2006/relationships/ctrlProp" Target="../ctrlProps/ctrlProp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trlProp" Target="../ctrlProps/ctrlProp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omments" Target="../comments5.xml"/><Relationship Id="rId2" Type="http://schemas.openxmlformats.org/officeDocument/2006/relationships/drawing" Target="../drawings/drawing22.xml"/><Relationship Id="rId1" Type="http://schemas.openxmlformats.org/officeDocument/2006/relationships/printerSettings" Target="../printerSettings/printerSettings21.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5.xml"/><Relationship Id="rId1" Type="http://schemas.openxmlformats.org/officeDocument/2006/relationships/printerSettings" Target="../printerSettings/printerSettings24.bin"/><Relationship Id="rId4" Type="http://schemas.openxmlformats.org/officeDocument/2006/relationships/comments" Target="../comments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drawing" Target="../drawings/drawing28.xml"/><Relationship Id="rId7" Type="http://schemas.openxmlformats.org/officeDocument/2006/relationships/ctrlProp" Target="../ctrlProps/ctrlProp11.xml"/><Relationship Id="rId2" Type="http://schemas.openxmlformats.org/officeDocument/2006/relationships/printerSettings" Target="../printerSettings/printerSettings27.bin"/><Relationship Id="rId1" Type="http://schemas.openxmlformats.org/officeDocument/2006/relationships/hyperlink" Target="http://www.ktbl.de/"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8.vml"/><Relationship Id="rId9" Type="http://schemas.openxmlformats.org/officeDocument/2006/relationships/comments" Target="../comments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C17"/>
  <sheetViews>
    <sheetView workbookViewId="0">
      <selection activeCell="C17" sqref="C17"/>
    </sheetView>
  </sheetViews>
  <sheetFormatPr baseColWidth="10" defaultRowHeight="12.75" x14ac:dyDescent="0.2"/>
  <cols>
    <col min="1" max="1" width="7.7109375" customWidth="1"/>
    <col min="2" max="2" width="11.28515625" customWidth="1"/>
    <col min="3" max="3" width="6.28515625" customWidth="1"/>
  </cols>
  <sheetData>
    <row r="1" spans="1:3" x14ac:dyDescent="0.2">
      <c r="A1" t="s">
        <v>679</v>
      </c>
    </row>
    <row r="4" spans="1:3" x14ac:dyDescent="0.2">
      <c r="A4" s="294" t="s">
        <v>238</v>
      </c>
      <c r="B4" s="294" t="s">
        <v>678</v>
      </c>
      <c r="C4">
        <v>41.97</v>
      </c>
    </row>
    <row r="5" spans="1:3" x14ac:dyDescent="0.2">
      <c r="A5">
        <v>3</v>
      </c>
      <c r="C5">
        <v>111.84</v>
      </c>
    </row>
    <row r="6" spans="1:3" x14ac:dyDescent="0.2">
      <c r="A6">
        <v>6</v>
      </c>
      <c r="C6">
        <v>198.32</v>
      </c>
    </row>
    <row r="7" spans="1:3" x14ac:dyDescent="0.2">
      <c r="A7">
        <v>12</v>
      </c>
      <c r="C7">
        <v>348.01</v>
      </c>
    </row>
    <row r="8" spans="1:3" x14ac:dyDescent="0.2">
      <c r="A8">
        <v>18</v>
      </c>
      <c r="C8">
        <v>455.11</v>
      </c>
    </row>
    <row r="9" spans="1:3" x14ac:dyDescent="0.2">
      <c r="A9">
        <v>24</v>
      </c>
      <c r="C9">
        <v>563.66</v>
      </c>
    </row>
    <row r="10" spans="1:3" x14ac:dyDescent="0.2">
      <c r="A10">
        <v>30</v>
      </c>
      <c r="C10">
        <v>608.92999999999995</v>
      </c>
    </row>
    <row r="11" spans="1:3" x14ac:dyDescent="0.2">
      <c r="A11">
        <v>36</v>
      </c>
      <c r="C11">
        <v>641.53</v>
      </c>
    </row>
    <row r="12" spans="1:3" x14ac:dyDescent="0.2">
      <c r="A12">
        <v>42</v>
      </c>
      <c r="C12">
        <v>652.30999999999995</v>
      </c>
    </row>
    <row r="13" spans="1:3" x14ac:dyDescent="0.2">
      <c r="A13">
        <v>48</v>
      </c>
      <c r="C13">
        <v>706.13</v>
      </c>
    </row>
    <row r="14" spans="1:3" x14ac:dyDescent="0.2">
      <c r="A14">
        <v>60</v>
      </c>
      <c r="C14">
        <v>713.12</v>
      </c>
    </row>
    <row r="15" spans="1:3" x14ac:dyDescent="0.2">
      <c r="A15">
        <v>72</v>
      </c>
      <c r="C15">
        <v>716.48</v>
      </c>
    </row>
    <row r="16" spans="1:3" x14ac:dyDescent="0.2">
      <c r="A16">
        <v>84</v>
      </c>
      <c r="C16">
        <v>724.54</v>
      </c>
    </row>
    <row r="17" spans="1:3" x14ac:dyDescent="0.2">
      <c r="A17">
        <v>96</v>
      </c>
      <c r="C17">
        <v>654.57000000000005</v>
      </c>
    </row>
  </sheetData>
  <sheetProtection sheet="1" objects="1" scenarios="1"/>
  <phoneticPr fontId="0"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FF0000"/>
  </sheetPr>
  <dimension ref="A1:M40"/>
  <sheetViews>
    <sheetView showGridLines="0" zoomScale="90" workbookViewId="0"/>
  </sheetViews>
  <sheetFormatPr baseColWidth="10" defaultRowHeight="12.75" x14ac:dyDescent="0.2"/>
  <cols>
    <col min="1" max="1" width="2.42578125" customWidth="1"/>
    <col min="10" max="10" width="19.7109375" customWidth="1"/>
    <col min="11" max="11" width="15.28515625" customWidth="1"/>
    <col min="12" max="12" width="13.5703125" customWidth="1"/>
    <col min="13" max="13" width="2.42578125" customWidth="1"/>
    <col min="14" max="14" width="3.42578125" customWidth="1"/>
  </cols>
  <sheetData>
    <row r="1" spans="1:13" ht="18.75" customHeight="1" x14ac:dyDescent="0.2">
      <c r="A1" s="2503"/>
      <c r="B1" s="2503"/>
      <c r="C1" s="2503"/>
      <c r="D1" s="2503"/>
      <c r="E1" s="2503"/>
      <c r="F1" s="2503"/>
      <c r="G1" s="2503"/>
      <c r="H1" s="2503"/>
      <c r="I1" s="2503"/>
      <c r="J1" s="2503"/>
      <c r="K1" s="2503"/>
      <c r="L1" s="2503"/>
      <c r="M1" s="2503"/>
    </row>
    <row r="2" spans="1:13" x14ac:dyDescent="0.2">
      <c r="A2" s="2503"/>
      <c r="M2" s="2503"/>
    </row>
    <row r="3" spans="1:13" x14ac:dyDescent="0.2">
      <c r="A3" s="2503"/>
      <c r="M3" s="2503"/>
    </row>
    <row r="4" spans="1:13" x14ac:dyDescent="0.2">
      <c r="A4" s="2503"/>
      <c r="M4" s="2503"/>
    </row>
    <row r="5" spans="1:13" x14ac:dyDescent="0.2">
      <c r="A5" s="2503"/>
      <c r="M5" s="2503"/>
    </row>
    <row r="6" spans="1:13" x14ac:dyDescent="0.2">
      <c r="A6" s="2503"/>
      <c r="M6" s="2503"/>
    </row>
    <row r="7" spans="1:13" x14ac:dyDescent="0.2">
      <c r="A7" s="2503"/>
      <c r="M7" s="2503"/>
    </row>
    <row r="8" spans="1:13" x14ac:dyDescent="0.2">
      <c r="A8" s="2503"/>
      <c r="M8" s="2503"/>
    </row>
    <row r="9" spans="1:13" x14ac:dyDescent="0.2">
      <c r="A9" s="2503"/>
      <c r="M9" s="2503"/>
    </row>
    <row r="10" spans="1:13" x14ac:dyDescent="0.2">
      <c r="A10" s="2503"/>
      <c r="M10" s="2503"/>
    </row>
    <row r="11" spans="1:13" x14ac:dyDescent="0.2">
      <c r="A11" s="2503"/>
      <c r="M11" s="2503"/>
    </row>
    <row r="12" spans="1:13" x14ac:dyDescent="0.2">
      <c r="A12" s="2503"/>
      <c r="M12" s="2503"/>
    </row>
    <row r="13" spans="1:13" x14ac:dyDescent="0.2">
      <c r="A13" s="2503"/>
      <c r="M13" s="2503"/>
    </row>
    <row r="14" spans="1:13" x14ac:dyDescent="0.2">
      <c r="A14" s="2503"/>
      <c r="M14" s="2503"/>
    </row>
    <row r="15" spans="1:13" x14ac:dyDescent="0.2">
      <c r="A15" s="2503"/>
      <c r="M15" s="2503"/>
    </row>
    <row r="16" spans="1:13" x14ac:dyDescent="0.2">
      <c r="A16" s="2503"/>
      <c r="M16" s="2503"/>
    </row>
    <row r="17" spans="1:13" x14ac:dyDescent="0.2">
      <c r="A17" s="2503"/>
      <c r="M17" s="2503"/>
    </row>
    <row r="18" spans="1:13" x14ac:dyDescent="0.2">
      <c r="A18" s="2503"/>
      <c r="M18" s="2503"/>
    </row>
    <row r="19" spans="1:13" x14ac:dyDescent="0.2">
      <c r="A19" s="2503"/>
      <c r="M19" s="2503"/>
    </row>
    <row r="20" spans="1:13" x14ac:dyDescent="0.2">
      <c r="A20" s="2503"/>
      <c r="M20" s="2503"/>
    </row>
    <row r="21" spans="1:13" x14ac:dyDescent="0.2">
      <c r="A21" s="2503"/>
      <c r="M21" s="2503"/>
    </row>
    <row r="22" spans="1:13" x14ac:dyDescent="0.2">
      <c r="A22" s="2503"/>
      <c r="M22" s="2503"/>
    </row>
    <row r="23" spans="1:13" x14ac:dyDescent="0.2">
      <c r="A23" s="2503"/>
      <c r="M23" s="2503"/>
    </row>
    <row r="24" spans="1:13" x14ac:dyDescent="0.2">
      <c r="A24" s="2503"/>
      <c r="M24" s="2503"/>
    </row>
    <row r="25" spans="1:13" x14ac:dyDescent="0.2">
      <c r="A25" s="2503"/>
      <c r="M25" s="2503"/>
    </row>
    <row r="26" spans="1:13" x14ac:dyDescent="0.2">
      <c r="A26" s="2503"/>
      <c r="M26" s="2503"/>
    </row>
    <row r="27" spans="1:13" x14ac:dyDescent="0.2">
      <c r="A27" s="2503"/>
      <c r="M27" s="2503"/>
    </row>
    <row r="28" spans="1:13" x14ac:dyDescent="0.2">
      <c r="A28" s="2503"/>
      <c r="M28" s="2503"/>
    </row>
    <row r="29" spans="1:13" x14ac:dyDescent="0.2">
      <c r="A29" s="2503"/>
      <c r="M29" s="2503"/>
    </row>
    <row r="30" spans="1:13" x14ac:dyDescent="0.2">
      <c r="A30" s="2503"/>
      <c r="M30" s="2503"/>
    </row>
    <row r="31" spans="1:13" x14ac:dyDescent="0.2">
      <c r="A31" s="2503"/>
      <c r="M31" s="2503"/>
    </row>
    <row r="32" spans="1:13" x14ac:dyDescent="0.2">
      <c r="A32" s="2503"/>
      <c r="M32" s="2503"/>
    </row>
    <row r="33" spans="1:13" x14ac:dyDescent="0.2">
      <c r="A33" s="2503"/>
      <c r="M33" s="2503"/>
    </row>
    <row r="34" spans="1:13" x14ac:dyDescent="0.2">
      <c r="A34" s="2503"/>
      <c r="M34" s="2503"/>
    </row>
    <row r="35" spans="1:13" x14ac:dyDescent="0.2">
      <c r="A35" s="2503"/>
      <c r="M35" s="2503"/>
    </row>
    <row r="36" spans="1:13" x14ac:dyDescent="0.2">
      <c r="A36" s="2503"/>
      <c r="M36" s="2503"/>
    </row>
    <row r="37" spans="1:13" x14ac:dyDescent="0.2">
      <c r="A37" s="2503"/>
      <c r="M37" s="2503"/>
    </row>
    <row r="38" spans="1:13" x14ac:dyDescent="0.2">
      <c r="A38" s="2503"/>
      <c r="M38" s="2503"/>
    </row>
    <row r="39" spans="1:13" x14ac:dyDescent="0.2">
      <c r="A39" s="2503"/>
      <c r="M39" s="2503"/>
    </row>
    <row r="40" spans="1:13" x14ac:dyDescent="0.2">
      <c r="A40" s="2503"/>
      <c r="B40" s="2503"/>
      <c r="C40" s="2503"/>
      <c r="D40" s="2503"/>
      <c r="E40" s="2503"/>
      <c r="F40" s="2503"/>
      <c r="G40" s="2503"/>
      <c r="H40" s="2503"/>
      <c r="I40" s="2503"/>
      <c r="J40" s="2503"/>
      <c r="K40" s="2503"/>
      <c r="L40" s="2503"/>
      <c r="M40" s="2503"/>
    </row>
  </sheetData>
  <sheetProtection sheet="1" objects="1" scenarios="1"/>
  <phoneticPr fontId="0" type="noConversion"/>
  <printOptions horizontalCentered="1" verticalCentered="1"/>
  <pageMargins left="0.35433070866141736" right="0.35433070866141736" top="0.70866141732283472" bottom="0.70866141732283472" header="0.51181102362204722" footer="0.51181102362204722"/>
  <pageSetup paperSize="9" firstPageNumber="12" orientation="landscape" useFirstPageNumber="1" r:id="rId1"/>
  <headerFooter alignWithMargins="0">
    <oddFooter>&amp;LLEL Schwäb. Gmünd &amp;D&amp;C&amp;"Arial,Fett"&amp;12&amp;P&amp;RKalkulationsdaten Milchviehhaltung;
 &amp;F  &amp;A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FF0000"/>
  </sheetPr>
  <dimension ref="A1:O50"/>
  <sheetViews>
    <sheetView showGridLines="0" workbookViewId="0"/>
  </sheetViews>
  <sheetFormatPr baseColWidth="10" defaultRowHeight="12.75" x14ac:dyDescent="0.2"/>
  <cols>
    <col min="1" max="1" width="1.42578125" customWidth="1"/>
    <col min="2" max="12" width="12" customWidth="1"/>
    <col min="13" max="13" width="3" customWidth="1"/>
    <col min="14" max="14" width="2.42578125" customWidth="1"/>
  </cols>
  <sheetData>
    <row r="1" spans="1:15" ht="18.75" customHeight="1" x14ac:dyDescent="0.2">
      <c r="A1" s="2503"/>
      <c r="B1" s="2503"/>
      <c r="C1" s="2503"/>
      <c r="D1" s="2503"/>
      <c r="E1" s="2503"/>
      <c r="F1" s="2503"/>
      <c r="G1" s="2503"/>
      <c r="H1" s="2503"/>
      <c r="I1" s="2503"/>
      <c r="J1" s="2503"/>
      <c r="K1" s="2503"/>
      <c r="L1" s="2503"/>
      <c r="M1" s="2503"/>
      <c r="N1" s="2503"/>
    </row>
    <row r="2" spans="1:15" ht="10.5" customHeight="1" x14ac:dyDescent="0.2">
      <c r="A2" s="2503"/>
      <c r="N2" s="2503"/>
    </row>
    <row r="3" spans="1:15" ht="10.5" customHeight="1" x14ac:dyDescent="0.2">
      <c r="A3" s="2503"/>
      <c r="N3" s="2503"/>
    </row>
    <row r="4" spans="1:15" ht="10.5" customHeight="1" x14ac:dyDescent="0.2">
      <c r="A4" s="2503"/>
      <c r="N4" s="2503"/>
      <c r="O4" s="589" t="str">
        <f>IF(Stammdaten!$S$7=1,"ohne Mwst.","mit Mwst.")</f>
        <v>mit Mwst.</v>
      </c>
    </row>
    <row r="5" spans="1:15" ht="10.5" customHeight="1" x14ac:dyDescent="0.2">
      <c r="A5" s="2503"/>
      <c r="N5" s="2503"/>
    </row>
    <row r="6" spans="1:15" ht="10.5" customHeight="1" x14ac:dyDescent="0.2">
      <c r="A6" s="2503"/>
      <c r="N6" s="2503"/>
    </row>
    <row r="7" spans="1:15" ht="10.5" customHeight="1" x14ac:dyDescent="0.2">
      <c r="A7" s="2503"/>
      <c r="N7" s="2503"/>
    </row>
    <row r="8" spans="1:15" ht="10.5" customHeight="1" x14ac:dyDescent="0.2">
      <c r="A8" s="2503"/>
      <c r="N8" s="2503"/>
    </row>
    <row r="9" spans="1:15" ht="10.5" customHeight="1" x14ac:dyDescent="0.2">
      <c r="A9" s="2503"/>
      <c r="N9" s="2503"/>
    </row>
    <row r="10" spans="1:15" ht="10.5" customHeight="1" x14ac:dyDescent="0.2">
      <c r="A10" s="2503"/>
      <c r="N10" s="2503"/>
    </row>
    <row r="11" spans="1:15" ht="10.5" customHeight="1" x14ac:dyDescent="0.2">
      <c r="A11" s="2503"/>
      <c r="N11" s="2503"/>
    </row>
    <row r="12" spans="1:15" ht="10.5" customHeight="1" x14ac:dyDescent="0.2">
      <c r="A12" s="2503"/>
      <c r="N12" s="2503"/>
    </row>
    <row r="13" spans="1:15" ht="10.5" customHeight="1" x14ac:dyDescent="0.2">
      <c r="A13" s="2503"/>
      <c r="N13" s="2503"/>
    </row>
    <row r="14" spans="1:15" ht="10.5" customHeight="1" x14ac:dyDescent="0.2">
      <c r="A14" s="2503"/>
      <c r="N14" s="2503"/>
    </row>
    <row r="15" spans="1:15" ht="10.5" customHeight="1" x14ac:dyDescent="0.2">
      <c r="A15" s="2503"/>
      <c r="N15" s="2503"/>
    </row>
    <row r="16" spans="1:15" ht="10.5" customHeight="1" x14ac:dyDescent="0.2">
      <c r="A16" s="2503"/>
      <c r="N16" s="2503"/>
    </row>
    <row r="17" spans="1:14" ht="10.5" customHeight="1" x14ac:dyDescent="0.2">
      <c r="A17" s="2503"/>
      <c r="N17" s="2503"/>
    </row>
    <row r="18" spans="1:14" ht="10.5" customHeight="1" x14ac:dyDescent="0.2">
      <c r="A18" s="2503"/>
      <c r="N18" s="2503"/>
    </row>
    <row r="19" spans="1:14" ht="10.5" customHeight="1" x14ac:dyDescent="0.2">
      <c r="A19" s="2503"/>
      <c r="N19" s="2503"/>
    </row>
    <row r="20" spans="1:14" ht="10.5" customHeight="1" x14ac:dyDescent="0.2">
      <c r="A20" s="2503"/>
      <c r="N20" s="2503"/>
    </row>
    <row r="21" spans="1:14" ht="10.5" customHeight="1" x14ac:dyDescent="0.2">
      <c r="A21" s="2503"/>
      <c r="N21" s="2503"/>
    </row>
    <row r="22" spans="1:14" ht="10.5" customHeight="1" x14ac:dyDescent="0.2">
      <c r="A22" s="2503"/>
      <c r="N22" s="2503"/>
    </row>
    <row r="23" spans="1:14" ht="10.5" customHeight="1" x14ac:dyDescent="0.2">
      <c r="A23" s="2503"/>
      <c r="N23" s="2503"/>
    </row>
    <row r="24" spans="1:14" ht="10.5" customHeight="1" x14ac:dyDescent="0.2">
      <c r="A24" s="2503"/>
      <c r="N24" s="2503"/>
    </row>
    <row r="25" spans="1:14" ht="10.5" customHeight="1" x14ac:dyDescent="0.2">
      <c r="A25" s="2503"/>
      <c r="N25" s="2503"/>
    </row>
    <row r="26" spans="1:14" ht="10.5" customHeight="1" x14ac:dyDescent="0.2">
      <c r="A26" s="2503"/>
      <c r="N26" s="2503"/>
    </row>
    <row r="27" spans="1:14" ht="10.5" customHeight="1" x14ac:dyDescent="0.2">
      <c r="A27" s="2503"/>
      <c r="N27" s="2503"/>
    </row>
    <row r="28" spans="1:14" ht="10.5" customHeight="1" x14ac:dyDescent="0.2">
      <c r="A28" s="2503"/>
      <c r="N28" s="2503"/>
    </row>
    <row r="29" spans="1:14" ht="10.5" customHeight="1" x14ac:dyDescent="0.2">
      <c r="A29" s="2503"/>
      <c r="N29" s="2503"/>
    </row>
    <row r="30" spans="1:14" ht="10.5" customHeight="1" x14ac:dyDescent="0.2">
      <c r="A30" s="2503"/>
      <c r="N30" s="2503"/>
    </row>
    <row r="31" spans="1:14" ht="10.5" customHeight="1" x14ac:dyDescent="0.2">
      <c r="A31" s="2503"/>
      <c r="N31" s="2503"/>
    </row>
    <row r="32" spans="1:14" ht="10.5" customHeight="1" x14ac:dyDescent="0.2">
      <c r="A32" s="2503"/>
      <c r="N32" s="2503"/>
    </row>
    <row r="33" spans="1:14" ht="10.5" customHeight="1" x14ac:dyDescent="0.2">
      <c r="A33" s="2503"/>
      <c r="N33" s="2503"/>
    </row>
    <row r="34" spans="1:14" ht="10.5" customHeight="1" x14ac:dyDescent="0.2">
      <c r="A34" s="2503"/>
      <c r="N34" s="2503"/>
    </row>
    <row r="35" spans="1:14" ht="10.5" customHeight="1" x14ac:dyDescent="0.2">
      <c r="A35" s="2503"/>
      <c r="N35" s="2503"/>
    </row>
    <row r="36" spans="1:14" ht="10.5" customHeight="1" x14ac:dyDescent="0.2">
      <c r="A36" s="2503"/>
      <c r="N36" s="2503"/>
    </row>
    <row r="37" spans="1:14" ht="10.5" customHeight="1" x14ac:dyDescent="0.2">
      <c r="A37" s="2503"/>
      <c r="N37" s="2503"/>
    </row>
    <row r="38" spans="1:14" ht="10.5" customHeight="1" x14ac:dyDescent="0.2">
      <c r="A38" s="2503"/>
      <c r="N38" s="2503"/>
    </row>
    <row r="39" spans="1:14" ht="10.5" customHeight="1" x14ac:dyDescent="0.2">
      <c r="A39" s="2503"/>
      <c r="N39" s="2503"/>
    </row>
    <row r="40" spans="1:14" ht="10.5" customHeight="1" x14ac:dyDescent="0.2">
      <c r="A40" s="2503"/>
      <c r="N40" s="2503"/>
    </row>
    <row r="41" spans="1:14" x14ac:dyDescent="0.2">
      <c r="A41" s="2503"/>
      <c r="B41" s="2503"/>
      <c r="C41" s="2503"/>
      <c r="D41" s="2503"/>
      <c r="E41" s="2503"/>
      <c r="F41" s="2503"/>
      <c r="G41" s="2503"/>
      <c r="H41" s="2503"/>
      <c r="I41" s="2503"/>
      <c r="J41" s="2503"/>
      <c r="K41" s="2503"/>
      <c r="L41" s="2503"/>
      <c r="M41" s="2503"/>
      <c r="N41" s="2503"/>
    </row>
    <row r="48" spans="1:14" x14ac:dyDescent="0.2">
      <c r="B48" s="2965">
        <f>'Färse(b)'!K28</f>
        <v>4.4586508119145947</v>
      </c>
      <c r="C48" s="2965">
        <f>'Färse(b)'!L28</f>
        <v>128.95117970703996</v>
      </c>
      <c r="D48" s="2965">
        <f>'Färse(b)'!M28</f>
        <v>197.6213930757267</v>
      </c>
    </row>
    <row r="49" spans="2:4" x14ac:dyDescent="0.2">
      <c r="B49" s="2965">
        <f>'Färse(b)'!K30</f>
        <v>1.783460324765838</v>
      </c>
      <c r="C49" s="2965">
        <f>'Färse(b)'!L30</f>
        <v>55.26479130301712</v>
      </c>
      <c r="D49" s="2965">
        <f>'Färse(b)'!M30</f>
        <v>91.209873727258483</v>
      </c>
    </row>
    <row r="50" spans="2:4" x14ac:dyDescent="0.2">
      <c r="B50" t="str">
        <f>'Färse(a)'!L7&amp;" Mon."</f>
        <v>30 Mon.</v>
      </c>
      <c r="C50" t="str">
        <f>'Färse(a)'!N7&amp;" Mon."</f>
        <v>28 Mon.</v>
      </c>
      <c r="D50" t="str">
        <f>'Färse(a)'!P7&amp;" Mon."</f>
        <v>26 Mon.</v>
      </c>
    </row>
  </sheetData>
  <sheetProtection sheet="1" objects="1" scenarios="1"/>
  <phoneticPr fontId="0" type="noConversion"/>
  <printOptions horizontalCentered="1" verticalCentered="1"/>
  <pageMargins left="0.35433070866141736" right="0.35433070866141736" top="0.42" bottom="0.70866141732283472" header="0.28999999999999998" footer="0.28000000000000003"/>
  <pageSetup paperSize="9" firstPageNumber="13" orientation="landscape" useFirstPageNumber="1" r:id="rId1"/>
  <headerFooter alignWithMargins="0">
    <oddFooter>&amp;LLEL Schwäb. Gmünd &amp;D&amp;C&amp;"Arial,Fett"&amp;12&amp;P&amp;RKalkulationsdaten Milchviehhaltung;
&amp;F  &amp;A</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tabColor theme="9" tint="-0.249977111117893"/>
    <pageSetUpPr fitToPage="1"/>
  </sheetPr>
  <dimension ref="A1:BJ99"/>
  <sheetViews>
    <sheetView showGridLines="0" showZeros="0" zoomScaleNormal="72" workbookViewId="0">
      <pane xSplit="9" ySplit="11" topLeftCell="J39" activePane="bottomRight" state="frozen"/>
      <selection activeCell="Q27" sqref="Q27"/>
      <selection pane="topRight" activeCell="Q27" sqref="Q27"/>
      <selection pane="bottomLeft" activeCell="Q27" sqref="Q27"/>
      <selection pane="bottomRight" activeCell="L7" sqref="L7"/>
    </sheetView>
  </sheetViews>
  <sheetFormatPr baseColWidth="10" defaultColWidth="11.5703125" defaultRowHeight="12.75" x14ac:dyDescent="0.2"/>
  <cols>
    <col min="1" max="1" width="1.42578125" style="105" customWidth="1"/>
    <col min="2" max="2" width="1" style="226" customWidth="1"/>
    <col min="3" max="3" width="1.42578125" style="111" customWidth="1"/>
    <col min="4" max="4" width="4.85546875" style="111" customWidth="1"/>
    <col min="5" max="5" width="10.85546875" style="111" customWidth="1"/>
    <col min="6" max="6" width="8.28515625" style="111" customWidth="1"/>
    <col min="7" max="7" width="8.85546875" style="111" customWidth="1"/>
    <col min="8" max="8" width="18.140625" style="111" customWidth="1"/>
    <col min="9" max="9" width="10.140625" style="112" customWidth="1"/>
    <col min="10" max="10" width="12.140625" style="111" customWidth="1"/>
    <col min="11" max="11" width="12.140625" style="152" customWidth="1"/>
    <col min="12" max="12" width="10.7109375" style="111" customWidth="1"/>
    <col min="13" max="13" width="12.140625" style="152" customWidth="1"/>
    <col min="14" max="14" width="10.42578125" style="111" customWidth="1"/>
    <col min="15" max="15" width="12.140625" style="152" customWidth="1"/>
    <col min="16" max="16" width="2.5703125" style="105" customWidth="1"/>
    <col min="17" max="18" width="9.28515625" style="244" customWidth="1"/>
    <col min="19" max="19" width="11.5703125" style="244" customWidth="1"/>
    <col min="20" max="20" width="10.42578125" style="244" customWidth="1"/>
    <col min="21" max="21" width="13" style="157" customWidth="1"/>
    <col min="22" max="22" width="9.28515625" style="253" customWidth="1"/>
    <col min="23" max="23" width="12.140625" style="105" customWidth="1"/>
    <col min="24" max="24" width="13.7109375" style="105" customWidth="1"/>
    <col min="25" max="25" width="7.5703125" style="105" customWidth="1"/>
    <col min="26" max="26" width="11.5703125" style="105" customWidth="1"/>
    <col min="27" max="27" width="4.140625" style="105" customWidth="1"/>
    <col min="28" max="36" width="11.5703125" style="105" customWidth="1"/>
    <col min="37" max="37" width="11.85546875" style="105" customWidth="1"/>
    <col min="38" max="38" width="11.5703125" style="105" customWidth="1"/>
    <col min="39" max="39" width="11.28515625" style="105" customWidth="1"/>
    <col min="40" max="16384" width="11.5703125" style="105"/>
  </cols>
  <sheetData>
    <row r="1" spans="1:37" ht="22.15" customHeight="1" x14ac:dyDescent="0.2">
      <c r="A1" s="2503"/>
      <c r="B1" s="2503"/>
      <c r="C1" s="2503"/>
      <c r="D1" s="2503"/>
      <c r="E1" s="2503"/>
      <c r="F1" s="2503"/>
      <c r="G1" s="2503"/>
      <c r="H1" s="2503"/>
      <c r="I1" s="2503"/>
      <c r="J1" s="2503"/>
      <c r="K1" s="2503"/>
      <c r="L1" s="2503"/>
      <c r="M1" s="2503"/>
      <c r="N1" s="2503"/>
      <c r="O1" s="2503"/>
      <c r="P1" s="2503"/>
    </row>
    <row r="2" spans="1:37" ht="20.25" customHeight="1" x14ac:dyDescent="0.2">
      <c r="A2" s="2503"/>
      <c r="C2" s="526" t="s">
        <v>1111</v>
      </c>
      <c r="D2" s="105"/>
      <c r="E2" s="105"/>
      <c r="F2" s="105"/>
      <c r="G2" s="105"/>
      <c r="H2" s="105"/>
      <c r="I2"/>
      <c r="J2" s="444" t="s">
        <v>1130</v>
      </c>
      <c r="M2"/>
      <c r="N2" s="109"/>
      <c r="O2" s="78" t="s">
        <v>1131</v>
      </c>
      <c r="P2" s="2503"/>
      <c r="Q2" s="227"/>
      <c r="R2" s="227"/>
      <c r="S2" s="227"/>
      <c r="T2" s="227"/>
      <c r="U2" s="228"/>
      <c r="V2" s="229"/>
    </row>
    <row r="3" spans="1:37" ht="20.25" customHeight="1" x14ac:dyDescent="0.2">
      <c r="A3" s="2503"/>
      <c r="C3" s="114"/>
      <c r="D3" s="105"/>
      <c r="E3" s="105"/>
      <c r="F3" s="105"/>
      <c r="G3" s="105"/>
      <c r="H3" s="105"/>
      <c r="I3"/>
      <c r="J3" s="105"/>
      <c r="K3" s="291"/>
      <c r="L3"/>
      <c r="M3"/>
      <c r="N3" s="109"/>
      <c r="O3" s="109"/>
      <c r="P3" s="2503"/>
      <c r="Q3" s="227"/>
      <c r="R3" s="227"/>
      <c r="S3" s="227"/>
      <c r="T3" s="227"/>
      <c r="U3" s="228"/>
      <c r="V3" s="229"/>
    </row>
    <row r="4" spans="1:37" ht="25.5" customHeight="1" x14ac:dyDescent="0.2">
      <c r="A4" s="2503"/>
      <c r="C4" s="159" t="s">
        <v>876</v>
      </c>
      <c r="D4" s="164"/>
      <c r="E4" s="3822">
        <f>Stammdaten!D4</f>
        <v>44531</v>
      </c>
      <c r="F4"/>
      <c r="G4" s="108"/>
      <c r="J4" s="444" t="s">
        <v>1009</v>
      </c>
      <c r="M4"/>
      <c r="N4" s="105"/>
      <c r="O4" s="78">
        <f>Stammdaten!AI5</f>
        <v>2022</v>
      </c>
      <c r="P4" s="2503"/>
      <c r="Q4" s="230"/>
      <c r="R4" s="231"/>
      <c r="S4" s="108"/>
      <c r="T4" s="108"/>
      <c r="U4" s="232"/>
      <c r="V4" s="233"/>
      <c r="W4" s="234"/>
      <c r="X4" s="235"/>
    </row>
    <row r="5" spans="1:37" ht="12.2" customHeight="1" thickBot="1" x14ac:dyDescent="0.25">
      <c r="A5" s="2503"/>
      <c r="C5" s="106"/>
      <c r="D5" s="105"/>
      <c r="E5" s="108"/>
      <c r="F5" s="110"/>
      <c r="G5" s="108"/>
      <c r="J5" s="105"/>
      <c r="K5" s="107"/>
      <c r="L5" s="108"/>
      <c r="M5"/>
      <c r="N5" s="105"/>
      <c r="O5" s="77"/>
      <c r="P5" s="2503"/>
      <c r="Q5" s="230"/>
      <c r="R5" s="231"/>
      <c r="S5" s="108"/>
      <c r="T5" s="108"/>
      <c r="U5" s="232"/>
      <c r="V5" s="233"/>
      <c r="W5" s="234"/>
      <c r="X5" s="235"/>
    </row>
    <row r="6" spans="1:37" s="236" customFormat="1" ht="22.7" customHeight="1" x14ac:dyDescent="0.2">
      <c r="A6" s="2503"/>
      <c r="B6" s="226"/>
      <c r="C6" s="1354"/>
      <c r="D6" s="1355" t="s">
        <v>228</v>
      </c>
      <c r="E6" s="1356"/>
      <c r="F6" s="1355"/>
      <c r="G6" s="1355"/>
      <c r="H6" s="1355"/>
      <c r="I6" s="1357"/>
      <c r="J6" s="1393" t="s">
        <v>1074</v>
      </c>
      <c r="K6" s="1394"/>
      <c r="L6" s="1395" t="s">
        <v>1075</v>
      </c>
      <c r="M6" s="1396"/>
      <c r="N6" s="1397" t="s">
        <v>1076</v>
      </c>
      <c r="O6" s="2031"/>
      <c r="P6" s="2503"/>
      <c r="Q6"/>
      <c r="R6"/>
      <c r="S6"/>
      <c r="T6"/>
      <c r="U6"/>
      <c r="V6"/>
      <c r="W6"/>
      <c r="X6"/>
      <c r="Y6"/>
      <c r="Z6"/>
      <c r="AA6"/>
      <c r="AB6"/>
      <c r="AC6"/>
      <c r="AD6"/>
      <c r="AE6"/>
      <c r="AF6"/>
      <c r="AG6"/>
      <c r="AH6"/>
      <c r="AI6"/>
      <c r="AJ6"/>
    </row>
    <row r="7" spans="1:37" s="236" customFormat="1" ht="15.75" x14ac:dyDescent="0.2">
      <c r="A7" s="2503"/>
      <c r="B7" s="226"/>
      <c r="C7" s="1358"/>
      <c r="D7" s="115" t="s">
        <v>1077</v>
      </c>
      <c r="E7" s="116"/>
      <c r="F7" s="116"/>
      <c r="G7" s="116"/>
      <c r="H7" s="116"/>
      <c r="I7" s="1359" t="s">
        <v>1132</v>
      </c>
      <c r="J7" s="1398">
        <v>6500</v>
      </c>
      <c r="K7" s="421"/>
      <c r="L7" s="76">
        <v>7500</v>
      </c>
      <c r="M7" s="831"/>
      <c r="N7" s="76">
        <v>8500</v>
      </c>
      <c r="O7" s="2032"/>
      <c r="P7" s="2503"/>
      <c r="Q7"/>
      <c r="R7"/>
      <c r="S7"/>
      <c r="T7"/>
      <c r="U7"/>
      <c r="V7"/>
      <c r="W7"/>
      <c r="X7"/>
      <c r="Y7"/>
      <c r="Z7"/>
      <c r="AA7"/>
      <c r="AB7"/>
      <c r="AC7"/>
      <c r="AD7"/>
      <c r="AE7"/>
      <c r="AF7"/>
      <c r="AG7"/>
      <c r="AH7"/>
      <c r="AI7"/>
      <c r="AJ7"/>
      <c r="AK7"/>
    </row>
    <row r="8" spans="1:37" s="236" customFormat="1" ht="15" x14ac:dyDescent="0.2">
      <c r="A8" s="2503"/>
      <c r="B8" s="226"/>
      <c r="C8" s="1360"/>
      <c r="D8" s="24" t="s">
        <v>1133</v>
      </c>
      <c r="E8" s="422"/>
      <c r="F8" s="135"/>
      <c r="G8" s="135"/>
      <c r="H8" s="135"/>
      <c r="I8" s="1361"/>
      <c r="J8" s="1399">
        <v>2500</v>
      </c>
      <c r="K8" s="423"/>
      <c r="L8" s="432">
        <v>3250</v>
      </c>
      <c r="M8" s="832"/>
      <c r="N8" s="432">
        <v>4000</v>
      </c>
      <c r="O8" s="2033"/>
      <c r="P8" s="2503"/>
      <c r="Q8"/>
      <c r="R8"/>
      <c r="S8"/>
      <c r="T8"/>
      <c r="U8"/>
      <c r="V8"/>
      <c r="W8"/>
      <c r="X8"/>
      <c r="Y8"/>
      <c r="Z8"/>
      <c r="AA8"/>
      <c r="AB8"/>
      <c r="AC8"/>
      <c r="AD8"/>
      <c r="AE8"/>
      <c r="AF8"/>
      <c r="AG8"/>
      <c r="AH8"/>
      <c r="AI8"/>
      <c r="AJ8"/>
    </row>
    <row r="9" spans="1:37" s="236" customFormat="1" ht="13.7" customHeight="1" x14ac:dyDescent="0.2">
      <c r="A9" s="2503"/>
      <c r="B9" s="226"/>
      <c r="C9" s="1362"/>
      <c r="D9" s="22"/>
      <c r="E9" s="118"/>
      <c r="F9" s="119"/>
      <c r="G9" s="119"/>
      <c r="H9" s="119"/>
      <c r="I9" s="1363"/>
      <c r="J9" s="1400" t="s">
        <v>1134</v>
      </c>
      <c r="K9" s="425" t="str">
        <f>IF(Stammdaten!$S$7=1,"ohne Mwst.","mit Mwst.")</f>
        <v>mit Mwst.</v>
      </c>
      <c r="L9" s="833" t="s">
        <v>1134</v>
      </c>
      <c r="M9" s="834" t="str">
        <f>IF(Stammdaten!$S$7=1,"ohne Mwst.","mit Mwst.")</f>
        <v>mit Mwst.</v>
      </c>
      <c r="N9" s="429" t="s">
        <v>1134</v>
      </c>
      <c r="O9" s="2034" t="str">
        <f>IF(Stammdaten!$S$7=1,"ohne Mwst.","mit Mwst.")</f>
        <v>mit Mwst.</v>
      </c>
      <c r="P9" s="2503"/>
      <c r="Q9"/>
      <c r="R9"/>
      <c r="S9"/>
      <c r="T9"/>
      <c r="U9"/>
      <c r="V9"/>
      <c r="W9"/>
      <c r="X9"/>
      <c r="Y9"/>
      <c r="Z9"/>
      <c r="AA9"/>
      <c r="AB9"/>
      <c r="AC9"/>
      <c r="AD9"/>
      <c r="AE9"/>
      <c r="AF9"/>
      <c r="AG9"/>
      <c r="AH9"/>
      <c r="AI9"/>
      <c r="AJ9"/>
    </row>
    <row r="10" spans="1:37" s="236" customFormat="1" ht="13.7" customHeight="1" x14ac:dyDescent="0.2">
      <c r="A10" s="2503"/>
      <c r="B10" s="226"/>
      <c r="C10" s="1362"/>
      <c r="D10" s="22"/>
      <c r="E10" s="118"/>
      <c r="F10" s="119"/>
      <c r="G10" s="119"/>
      <c r="H10" s="119"/>
      <c r="I10" s="1363"/>
      <c r="J10" s="1401" t="s">
        <v>1138</v>
      </c>
      <c r="K10" s="424"/>
      <c r="L10" s="835" t="s">
        <v>1138</v>
      </c>
      <c r="M10" s="836"/>
      <c r="N10" s="431" t="s">
        <v>1138</v>
      </c>
      <c r="O10" s="2035"/>
      <c r="P10" s="2503"/>
      <c r="Q10"/>
      <c r="R10"/>
      <c r="S10"/>
      <c r="T10"/>
      <c r="U10"/>
      <c r="V10"/>
      <c r="W10"/>
      <c r="X10"/>
      <c r="Y10"/>
      <c r="Z10"/>
      <c r="AA10"/>
      <c r="AB10"/>
      <c r="AC10"/>
      <c r="AD10"/>
      <c r="AE10"/>
      <c r="AF10"/>
      <c r="AG10"/>
      <c r="AH10"/>
      <c r="AI10"/>
      <c r="AJ10"/>
    </row>
    <row r="11" spans="1:37" s="236" customFormat="1" ht="13.7" customHeight="1" x14ac:dyDescent="0.2">
      <c r="A11" s="2503"/>
      <c r="B11" s="226"/>
      <c r="C11" s="1362"/>
      <c r="D11" s="22"/>
      <c r="E11" s="118"/>
      <c r="F11" s="119"/>
      <c r="G11" s="119"/>
      <c r="H11" s="119"/>
      <c r="I11" s="1363"/>
      <c r="J11" s="1402" t="s">
        <v>1139</v>
      </c>
      <c r="K11" s="424"/>
      <c r="L11" s="837" t="s">
        <v>1139</v>
      </c>
      <c r="M11" s="836"/>
      <c r="N11" s="430" t="s">
        <v>1139</v>
      </c>
      <c r="O11" s="2035"/>
      <c r="P11" s="2503"/>
      <c r="Q11"/>
      <c r="R11"/>
      <c r="S11"/>
      <c r="T11"/>
      <c r="U11"/>
      <c r="V11"/>
      <c r="W11"/>
      <c r="X11"/>
      <c r="Y11"/>
      <c r="Z11"/>
      <c r="AA11"/>
      <c r="AB11"/>
      <c r="AC11"/>
      <c r="AD11"/>
      <c r="AE11"/>
      <c r="AF11"/>
      <c r="AG11"/>
      <c r="AH11"/>
      <c r="AI11"/>
      <c r="AJ11"/>
    </row>
    <row r="12" spans="1:37" s="236" customFormat="1" ht="18.75" customHeight="1" x14ac:dyDescent="0.2">
      <c r="A12" s="2503"/>
      <c r="B12" s="226"/>
      <c r="C12" s="1358"/>
      <c r="D12" s="115" t="s">
        <v>1140</v>
      </c>
      <c r="E12" s="116"/>
      <c r="F12" s="113"/>
      <c r="G12" s="202"/>
      <c r="H12" s="158" t="s">
        <v>1011</v>
      </c>
      <c r="I12" s="1364" t="s">
        <v>1141</v>
      </c>
      <c r="J12" s="1403"/>
      <c r="K12" s="140">
        <f>K13*J7</f>
        <v>2953.7624999999998</v>
      </c>
      <c r="L12" s="838"/>
      <c r="M12" s="839">
        <f>M13*L7</f>
        <v>3408.1874999999995</v>
      </c>
      <c r="N12" s="122"/>
      <c r="O12" s="2036">
        <f>O13*N7</f>
        <v>3862.6124999999997</v>
      </c>
      <c r="P12" s="2503"/>
      <c r="Q12"/>
      <c r="R12"/>
      <c r="S12"/>
      <c r="T12"/>
      <c r="U12"/>
      <c r="V12"/>
      <c r="W12"/>
      <c r="X12"/>
      <c r="Y12"/>
      <c r="Z12"/>
      <c r="AA12"/>
      <c r="AB12"/>
      <c r="AC12"/>
      <c r="AD12"/>
      <c r="AE12"/>
      <c r="AF12"/>
      <c r="AG12"/>
      <c r="AH12"/>
      <c r="AI12"/>
      <c r="AJ12"/>
    </row>
    <row r="13" spans="1:37" ht="15" customHeight="1" x14ac:dyDescent="0.2">
      <c r="A13" s="2503"/>
      <c r="C13" s="1365"/>
      <c r="D13" s="80" t="s">
        <v>1142</v>
      </c>
      <c r="E13" s="127"/>
      <c r="F13" s="80"/>
      <c r="G13" s="75"/>
      <c r="H13" s="75"/>
      <c r="I13" s="1366" t="s">
        <v>1143</v>
      </c>
      <c r="J13" s="1404">
        <f>L13</f>
        <v>0.41499999999999998</v>
      </c>
      <c r="K13" s="395">
        <f>M13</f>
        <v>0.45442499999999997</v>
      </c>
      <c r="L13" s="840">
        <f>M13/(1+Stammdaten!P7)</f>
        <v>0.41499999999999998</v>
      </c>
      <c r="M13" s="841">
        <f>Preise!N13+Preise!N19</f>
        <v>0.45442499999999997</v>
      </c>
      <c r="N13" s="518">
        <f>L13</f>
        <v>0.41499999999999998</v>
      </c>
      <c r="O13" s="2037">
        <f>M13</f>
        <v>0.45442499999999997</v>
      </c>
      <c r="P13" s="2503"/>
      <c r="Q13"/>
      <c r="R13"/>
      <c r="S13"/>
      <c r="T13"/>
      <c r="U13"/>
      <c r="V13"/>
      <c r="W13"/>
      <c r="X13"/>
      <c r="Y13"/>
      <c r="Z13"/>
      <c r="AA13"/>
      <c r="AB13"/>
      <c r="AC13"/>
      <c r="AD13"/>
      <c r="AE13"/>
      <c r="AF13"/>
      <c r="AG13"/>
      <c r="AH13"/>
      <c r="AI13"/>
      <c r="AJ13"/>
    </row>
    <row r="14" spans="1:37" s="236" customFormat="1" ht="15.75" x14ac:dyDescent="0.2">
      <c r="A14" s="2503"/>
      <c r="B14" s="226"/>
      <c r="C14" s="1362"/>
      <c r="D14" s="128" t="s">
        <v>1144</v>
      </c>
      <c r="E14" s="129"/>
      <c r="F14" s="130"/>
      <c r="G14" s="111"/>
      <c r="H14" s="111"/>
      <c r="I14" s="1367"/>
      <c r="J14" s="1371"/>
      <c r="K14" s="130"/>
      <c r="L14" s="842"/>
      <c r="M14" s="843"/>
      <c r="N14" s="126"/>
      <c r="O14" s="1367"/>
      <c r="P14" s="2503"/>
      <c r="Q14"/>
      <c r="R14"/>
      <c r="S14"/>
      <c r="T14"/>
      <c r="U14"/>
      <c r="V14"/>
      <c r="W14"/>
      <c r="X14"/>
      <c r="Y14"/>
      <c r="Z14"/>
      <c r="AA14"/>
      <c r="AB14"/>
      <c r="AC14"/>
      <c r="AD14"/>
      <c r="AE14"/>
      <c r="AF14"/>
      <c r="AG14"/>
      <c r="AH14"/>
      <c r="AI14"/>
      <c r="AJ14"/>
    </row>
    <row r="15" spans="1:37" s="236" customFormat="1" ht="18.75" customHeight="1" x14ac:dyDescent="0.2">
      <c r="A15" s="2503"/>
      <c r="B15" s="226"/>
      <c r="C15" s="1362"/>
      <c r="D15" s="128"/>
      <c r="E15" s="22" t="s">
        <v>1145</v>
      </c>
      <c r="F15" s="204"/>
      <c r="G15" s="111"/>
      <c r="H15" s="111"/>
      <c r="I15" s="1368" t="s">
        <v>1141</v>
      </c>
      <c r="J15" s="1371"/>
      <c r="K15" s="125">
        <f>J17*K16</f>
        <v>269.37</v>
      </c>
      <c r="L15" s="842"/>
      <c r="M15" s="844">
        <f>L17*M16</f>
        <v>269.37</v>
      </c>
      <c r="N15" s="126"/>
      <c r="O15" s="1405">
        <f>N17*O16</f>
        <v>269.37</v>
      </c>
      <c r="P15" s="2503"/>
      <c r="Q15"/>
      <c r="R15"/>
      <c r="S15"/>
      <c r="T15" s="237"/>
      <c r="U15" s="108"/>
      <c r="V15" s="108"/>
      <c r="W15" s="108"/>
      <c r="X15" s="108"/>
      <c r="Y15" s="108"/>
      <c r="Z15" s="108"/>
      <c r="AA15" s="108"/>
      <c r="AB15" s="108"/>
      <c r="AC15" s="108"/>
      <c r="AD15" s="108"/>
      <c r="AE15" s="108"/>
    </row>
    <row r="16" spans="1:37" s="236" customFormat="1" ht="18.75" customHeight="1" x14ac:dyDescent="0.2">
      <c r="A16" s="2503"/>
      <c r="B16" s="226"/>
      <c r="C16" s="1362"/>
      <c r="D16" s="111"/>
      <c r="E16" s="119"/>
      <c r="F16" s="22" t="s">
        <v>765</v>
      </c>
      <c r="G16" s="111"/>
      <c r="H16" s="111"/>
      <c r="I16" s="1368" t="s">
        <v>1146</v>
      </c>
      <c r="J16" s="1406"/>
      <c r="K16" s="398">
        <f>M16</f>
        <v>269.37</v>
      </c>
      <c r="L16" s="1407"/>
      <c r="M16" s="845">
        <f>Preise!N35</f>
        <v>269.37</v>
      </c>
      <c r="N16" s="28"/>
      <c r="O16" s="2038">
        <f>M16</f>
        <v>269.37</v>
      </c>
      <c r="P16" s="2503"/>
      <c r="Q16"/>
      <c r="R16"/>
      <c r="S16"/>
      <c r="T16" s="237"/>
      <c r="U16" s="108"/>
      <c r="V16" s="108"/>
      <c r="W16" s="108"/>
      <c r="X16" s="108"/>
      <c r="Y16" s="108"/>
      <c r="Z16" s="108"/>
      <c r="AA16" s="108"/>
      <c r="AB16" s="108"/>
      <c r="AC16" s="108"/>
      <c r="AD16" s="108"/>
      <c r="AE16" s="108"/>
    </row>
    <row r="17" spans="1:38" s="236" customFormat="1" ht="16.5" customHeight="1" x14ac:dyDescent="0.2">
      <c r="A17" s="2503"/>
      <c r="B17" s="226"/>
      <c r="C17" s="1362"/>
      <c r="D17" s="111"/>
      <c r="E17" s="130"/>
      <c r="F17" s="22" t="s">
        <v>513</v>
      </c>
      <c r="G17" s="111"/>
      <c r="H17" s="111"/>
      <c r="I17" s="1369" t="s">
        <v>1147</v>
      </c>
      <c r="J17" s="1408">
        <v>1</v>
      </c>
      <c r="K17" s="132"/>
      <c r="L17" s="160">
        <v>1</v>
      </c>
      <c r="M17" s="846"/>
      <c r="N17" s="160">
        <v>1</v>
      </c>
      <c r="O17" s="2039"/>
      <c r="P17" s="2503"/>
      <c r="Q17"/>
      <c r="R17"/>
      <c r="S17"/>
      <c r="T17" s="238"/>
      <c r="U17" s="108"/>
      <c r="V17" s="108"/>
      <c r="W17" s="108"/>
      <c r="X17" s="108"/>
      <c r="Y17" s="108"/>
      <c r="Z17" s="108"/>
      <c r="AA17" s="108"/>
      <c r="AB17" s="108"/>
      <c r="AC17" s="108"/>
      <c r="AD17" s="108"/>
      <c r="AE17" s="108"/>
    </row>
    <row r="18" spans="1:38" s="236" customFormat="1" ht="16.149999999999999" customHeight="1" x14ac:dyDescent="0.2">
      <c r="A18" s="2503"/>
      <c r="B18" s="226"/>
      <c r="C18" s="1362"/>
      <c r="D18" s="111"/>
      <c r="E18" s="124" t="s">
        <v>1148</v>
      </c>
      <c r="F18" s="124" t="s">
        <v>1149</v>
      </c>
      <c r="G18" s="111"/>
      <c r="H18" s="111"/>
      <c r="I18" s="1368" t="s">
        <v>1141</v>
      </c>
      <c r="J18" s="1409"/>
      <c r="K18" s="125">
        <f>K19/J20</f>
        <v>549.13155000000006</v>
      </c>
      <c r="L18" s="848"/>
      <c r="M18" s="844">
        <f>M19/L20</f>
        <v>549.13155000000006</v>
      </c>
      <c r="N18" s="133"/>
      <c r="O18" s="1405">
        <f>O19/N20</f>
        <v>549.13155000000006</v>
      </c>
      <c r="P18" s="2503"/>
      <c r="Q18"/>
      <c r="R18"/>
      <c r="S18" s="239"/>
      <c r="T18" s="239"/>
      <c r="U18" s="108"/>
      <c r="V18" s="108"/>
    </row>
    <row r="19" spans="1:38" s="236" customFormat="1" ht="15.6" customHeight="1" x14ac:dyDescent="0.2">
      <c r="A19" s="2503"/>
      <c r="B19" s="226"/>
      <c r="C19" s="1362"/>
      <c r="D19" s="111"/>
      <c r="E19" s="119"/>
      <c r="F19" s="22" t="s">
        <v>1150</v>
      </c>
      <c r="G19" s="111"/>
      <c r="H19" s="3800">
        <v>3</v>
      </c>
      <c r="I19" s="1368" t="s">
        <v>1141</v>
      </c>
      <c r="J19" s="1406"/>
      <c r="K19" s="426">
        <f>J21*Preise!$N$27*(100-$H$19)/100</f>
        <v>1647.3946500000002</v>
      </c>
      <c r="L19" s="1407"/>
      <c r="M19" s="847">
        <f>L21*Preise!$N$27*(100-$H$19)/100</f>
        <v>1647.3946500000002</v>
      </c>
      <c r="N19" s="28"/>
      <c r="O19" s="2040">
        <f>N21*Preise!$N$27*(100-$H$19)/100</f>
        <v>1647.3946500000002</v>
      </c>
      <c r="P19" s="2503"/>
      <c r="Q19"/>
      <c r="R19"/>
      <c r="S19" s="239"/>
      <c r="T19" s="239"/>
      <c r="U19" s="108"/>
      <c r="V19" s="108"/>
    </row>
    <row r="20" spans="1:38" s="236" customFormat="1" ht="14.25" x14ac:dyDescent="0.2">
      <c r="A20" s="2503"/>
      <c r="B20" s="226"/>
      <c r="C20" s="1362"/>
      <c r="D20" s="111"/>
      <c r="E20" s="119"/>
      <c r="F20" s="22" t="s">
        <v>1151</v>
      </c>
      <c r="G20" s="111"/>
      <c r="H20" s="111"/>
      <c r="I20" s="1369" t="s">
        <v>991</v>
      </c>
      <c r="J20" s="3799">
        <v>3</v>
      </c>
      <c r="K20" s="132"/>
      <c r="L20" s="161">
        <v>3</v>
      </c>
      <c r="M20" s="846"/>
      <c r="N20" s="161">
        <v>3</v>
      </c>
      <c r="O20" s="2039"/>
      <c r="P20" s="2503"/>
      <c r="Q20"/>
      <c r="R20" s="3913" t="s">
        <v>1579</v>
      </c>
      <c r="S20" s="3914"/>
      <c r="T20" s="3914"/>
      <c r="U20" s="3915"/>
      <c r="V20" s="108"/>
    </row>
    <row r="21" spans="1:38" s="236" customFormat="1" ht="15" thickBot="1" x14ac:dyDescent="0.25">
      <c r="A21" s="2503"/>
      <c r="B21" s="226"/>
      <c r="C21" s="1362"/>
      <c r="D21" s="111"/>
      <c r="E21" s="119"/>
      <c r="F21" s="22" t="s">
        <v>1152</v>
      </c>
      <c r="G21" s="111"/>
      <c r="H21" s="111"/>
      <c r="I21" s="1369" t="s">
        <v>1153</v>
      </c>
      <c r="J21" s="1410">
        <v>330</v>
      </c>
      <c r="K21" s="132"/>
      <c r="L21" s="161">
        <f>J21</f>
        <v>330</v>
      </c>
      <c r="M21" s="849"/>
      <c r="N21" s="161">
        <f>J21</f>
        <v>330</v>
      </c>
      <c r="O21" s="2039"/>
      <c r="P21" s="2503"/>
      <c r="Q21"/>
      <c r="R21"/>
      <c r="S21" s="238"/>
      <c r="T21" s="238"/>
      <c r="U21" s="108"/>
      <c r="V21" s="108"/>
    </row>
    <row r="22" spans="1:38" s="236" customFormat="1" ht="18" customHeight="1" x14ac:dyDescent="0.2">
      <c r="A22" s="2503"/>
      <c r="B22" s="226"/>
      <c r="C22" s="1362"/>
      <c r="D22" s="111"/>
      <c r="E22" s="22" t="str">
        <f>"Düngerwert:  (bei "&amp;ROUND(Stammdaten!P23,2)&amp;" €/m³)"</f>
        <v>Düngerwert:  (bei 14,58 €/m³)</v>
      </c>
      <c r="F22" s="22"/>
      <c r="G22" s="111"/>
      <c r="H22" s="111"/>
      <c r="I22" s="1368" t="s">
        <v>1141</v>
      </c>
      <c r="J22" s="1411"/>
      <c r="K22" s="125">
        <f>J23*Stammdaten!$P$23</f>
        <v>313.45889166666666</v>
      </c>
      <c r="L22" s="850"/>
      <c r="M22" s="844">
        <f>L23*Stammdaten!$P$23</f>
        <v>320.74863333333332</v>
      </c>
      <c r="N22" s="134"/>
      <c r="O22" s="1405">
        <f>N23*Stammdaten!$P$23</f>
        <v>328.03837499999997</v>
      </c>
      <c r="P22" s="2503"/>
      <c r="Q22"/>
      <c r="R22" s="3880"/>
      <c r="S22" s="3881"/>
      <c r="T22" s="3881"/>
      <c r="U22" s="3882"/>
      <c r="V22" s="3882"/>
      <c r="W22" s="3950" t="s">
        <v>1562</v>
      </c>
      <c r="AL22"/>
    </row>
    <row r="23" spans="1:38" s="236" customFormat="1" ht="18" customHeight="1" thickBot="1" x14ac:dyDescent="0.25">
      <c r="A23" s="2503"/>
      <c r="B23" s="226"/>
      <c r="C23" s="1362"/>
      <c r="D23" s="111"/>
      <c r="E23" s="119"/>
      <c r="F23" s="22" t="s">
        <v>758</v>
      </c>
      <c r="G23" s="111"/>
      <c r="H23" s="111"/>
      <c r="I23" s="1369" t="s">
        <v>1155</v>
      </c>
      <c r="J23" s="1410">
        <v>21.5</v>
      </c>
      <c r="K23" s="2799" t="str">
        <f>"  "&amp;ROUND(J92,1)</f>
        <v xml:space="preserve">  19,4</v>
      </c>
      <c r="L23" s="161">
        <v>22</v>
      </c>
      <c r="M23" s="2570" t="str">
        <f>"  "&amp;ROUND(L92,1)</f>
        <v xml:space="preserve">  19,8</v>
      </c>
      <c r="N23" s="161">
        <v>22.5</v>
      </c>
      <c r="O23" s="2573" t="str">
        <f>"  "&amp;ROUND(N92,1)</f>
        <v xml:space="preserve">  20,3</v>
      </c>
      <c r="P23" s="2503"/>
      <c r="Q23"/>
      <c r="R23" s="3883" t="s">
        <v>1560</v>
      </c>
      <c r="S23" s="3884"/>
      <c r="T23" s="3884"/>
      <c r="U23" s="3885" t="s">
        <v>1559</v>
      </c>
      <c r="V23" s="3885" t="s">
        <v>1561</v>
      </c>
      <c r="W23" s="3951"/>
    </row>
    <row r="24" spans="1:38" s="236" customFormat="1" ht="18" customHeight="1" x14ac:dyDescent="0.2">
      <c r="A24" s="2503"/>
      <c r="B24" s="226"/>
      <c r="C24" s="1362"/>
      <c r="D24" s="111"/>
      <c r="E24" s="22" t="s">
        <v>1022</v>
      </c>
      <c r="F24" s="2548">
        <f>Stammdaten!H25</f>
        <v>17</v>
      </c>
      <c r="G24" s="124" t="s">
        <v>1021</v>
      </c>
      <c r="H24" s="111"/>
      <c r="I24" s="1369" t="s">
        <v>1155</v>
      </c>
      <c r="J24" s="2544">
        <f>J92*$F$24</f>
        <v>328.95000000000005</v>
      </c>
      <c r="K24" s="132"/>
      <c r="L24" s="2545">
        <f>L92*$F$24</f>
        <v>336.6</v>
      </c>
      <c r="M24" s="846"/>
      <c r="N24" s="2545">
        <f>N92*$F$24</f>
        <v>344.25</v>
      </c>
      <c r="O24" s="2039"/>
      <c r="P24" s="2503"/>
      <c r="Q24"/>
      <c r="R24" s="3886"/>
      <c r="S24" s="3887" t="s">
        <v>1555</v>
      </c>
      <c r="T24" s="3887"/>
      <c r="U24" s="3888">
        <v>3</v>
      </c>
      <c r="V24" s="3889"/>
      <c r="W24" s="3890"/>
    </row>
    <row r="25" spans="1:38" s="241" customFormat="1" ht="17.100000000000001" customHeight="1" x14ac:dyDescent="0.2">
      <c r="A25" s="2503"/>
      <c r="B25" s="243"/>
      <c r="C25" s="1358"/>
      <c r="D25" s="3794" t="s">
        <v>1528</v>
      </c>
      <c r="E25" s="116"/>
      <c r="F25" s="116"/>
      <c r="G25" s="116"/>
      <c r="H25" s="116"/>
      <c r="I25" s="1364" t="s">
        <v>1141</v>
      </c>
      <c r="J25" s="1412"/>
      <c r="K25" s="2085">
        <v>0</v>
      </c>
      <c r="L25" s="852"/>
      <c r="M25" s="2085">
        <v>0</v>
      </c>
      <c r="N25" s="137"/>
      <c r="O25" s="2086">
        <v>0</v>
      </c>
      <c r="P25" s="2503"/>
      <c r="Q25"/>
      <c r="R25" s="3879"/>
      <c r="S25" s="3891" t="s">
        <v>1556</v>
      </c>
      <c r="T25" s="3891"/>
      <c r="U25" s="3892">
        <v>19.5</v>
      </c>
      <c r="V25" s="3893">
        <v>22.5</v>
      </c>
      <c r="W25" s="3893">
        <v>2.5</v>
      </c>
    </row>
    <row r="26" spans="1:38" ht="17.100000000000001" customHeight="1" x14ac:dyDescent="0.2">
      <c r="A26" s="2503"/>
      <c r="C26" s="1370"/>
      <c r="D26" s="115" t="s">
        <v>1086</v>
      </c>
      <c r="E26" s="121"/>
      <c r="F26" s="121"/>
      <c r="G26" s="121"/>
      <c r="H26" s="121"/>
      <c r="I26" s="1364" t="s">
        <v>1141</v>
      </c>
      <c r="J26" s="1415"/>
      <c r="K26" s="140">
        <f>K27/J20</f>
        <v>657</v>
      </c>
      <c r="L26" s="855"/>
      <c r="M26" s="839">
        <f>M27/L20</f>
        <v>657</v>
      </c>
      <c r="N26" s="141"/>
      <c r="O26" s="2036">
        <f>O27/N20</f>
        <v>657</v>
      </c>
      <c r="P26" s="2503"/>
      <c r="Q26"/>
      <c r="R26" s="3879"/>
      <c r="S26" s="3891" t="s">
        <v>1557</v>
      </c>
      <c r="T26" s="3894"/>
      <c r="U26" s="3892">
        <v>20</v>
      </c>
      <c r="V26" s="3893">
        <v>23</v>
      </c>
      <c r="W26" s="3893">
        <v>2.5</v>
      </c>
    </row>
    <row r="27" spans="1:38" ht="17.100000000000001" customHeight="1" x14ac:dyDescent="0.2">
      <c r="A27" s="2503"/>
      <c r="C27" s="1371"/>
      <c r="D27" s="130"/>
      <c r="E27" s="247" t="s">
        <v>1156</v>
      </c>
      <c r="I27" s="1368" t="s">
        <v>1157</v>
      </c>
      <c r="J27" s="1406"/>
      <c r="K27" s="401">
        <f>M27</f>
        <v>1971</v>
      </c>
      <c r="L27" s="851"/>
      <c r="M27" s="856">
        <f>Preise!N25</f>
        <v>1971</v>
      </c>
      <c r="N27" s="37"/>
      <c r="O27" s="2041">
        <f>M27</f>
        <v>1971</v>
      </c>
      <c r="P27" s="2503"/>
      <c r="Q27"/>
      <c r="R27" s="3879"/>
      <c r="S27" s="3891" t="s">
        <v>1558</v>
      </c>
      <c r="T27" s="3894"/>
      <c r="U27" s="3892">
        <v>20.5</v>
      </c>
      <c r="V27" s="3893">
        <v>23.5</v>
      </c>
      <c r="W27" s="3893">
        <v>2.5</v>
      </c>
    </row>
    <row r="28" spans="1:38" s="241" customFormat="1" ht="17.100000000000001" customHeight="1" x14ac:dyDescent="0.2">
      <c r="A28" s="2503"/>
      <c r="B28" s="226"/>
      <c r="C28" s="1372"/>
      <c r="D28" s="143" t="s">
        <v>1158</v>
      </c>
      <c r="E28" s="121"/>
      <c r="F28" s="144"/>
      <c r="G28" s="145"/>
      <c r="H28" s="145"/>
      <c r="I28" s="1373" t="s">
        <v>1141</v>
      </c>
      <c r="J28" s="1416"/>
      <c r="K28" s="146">
        <f>SUM(K30:K34)</f>
        <v>762.05850000000009</v>
      </c>
      <c r="L28" s="857"/>
      <c r="M28" s="858">
        <f>SUM(M30:M34)</f>
        <v>811.29100000000017</v>
      </c>
      <c r="N28" s="147"/>
      <c r="O28" s="2042">
        <f>SUM(O30:O34)</f>
        <v>860.52350000000013</v>
      </c>
      <c r="P28" s="2503"/>
      <c r="Q28"/>
      <c r="R28"/>
      <c r="S28" s="246"/>
      <c r="T28" s="246"/>
      <c r="U28" s="108"/>
      <c r="V28" s="108"/>
    </row>
    <row r="29" spans="1:38" s="241" customFormat="1" ht="17.100000000000001" customHeight="1" x14ac:dyDescent="0.2">
      <c r="A29" s="2503"/>
      <c r="B29" s="226"/>
      <c r="C29" s="1374"/>
      <c r="D29" s="513" t="s">
        <v>1159</v>
      </c>
      <c r="E29" s="149"/>
      <c r="F29" s="148"/>
      <c r="G29" s="371"/>
      <c r="H29" s="640" t="s">
        <v>1013</v>
      </c>
      <c r="I29" s="1375"/>
      <c r="J29" s="1417" t="s">
        <v>1160</v>
      </c>
      <c r="K29" s="760" t="s">
        <v>766</v>
      </c>
      <c r="L29" s="859" t="s">
        <v>1160</v>
      </c>
      <c r="M29" s="872" t="s">
        <v>766</v>
      </c>
      <c r="N29" s="405" t="s">
        <v>1160</v>
      </c>
      <c r="O29" s="1418" t="s">
        <v>766</v>
      </c>
      <c r="P29" s="2503"/>
      <c r="Q29"/>
      <c r="R29"/>
      <c r="S29" s="248"/>
      <c r="T29" s="248"/>
      <c r="U29" s="108"/>
      <c r="V29" s="108"/>
    </row>
    <row r="30" spans="1:38" ht="17.100000000000001" customHeight="1" x14ac:dyDescent="0.2">
      <c r="A30" s="2503"/>
      <c r="C30" s="1376"/>
      <c r="D30" s="244">
        <v>1</v>
      </c>
      <c r="E30" s="81" t="str">
        <f>IF(OR(D30&gt;10,D30=0),0,INDEX(Preise!$C$45:$N$54,D30,2))</f>
        <v>Milchleistungsfutter</v>
      </c>
      <c r="G30" s="28"/>
      <c r="H30" s="511">
        <f>IF(OR(D30&gt;10,D30=0),0,INDEX(Preise!$C$45:$N$54,D30,12))</f>
        <v>37.450000000000003</v>
      </c>
      <c r="I30" s="1363"/>
      <c r="J30" s="1419">
        <f>IF(D30&lt;1,0,((J7-J8-(J31*100*2))/2)/100)</f>
        <v>15</v>
      </c>
      <c r="K30" s="396">
        <f>J30*$H30</f>
        <v>561.75</v>
      </c>
      <c r="L30" s="870">
        <f>((L7-L8-(L31*100*2))/2)/100</f>
        <v>14.25</v>
      </c>
      <c r="M30" s="860">
        <f>L30*$H30</f>
        <v>533.66250000000002</v>
      </c>
      <c r="N30" s="433">
        <f>((N7-N8-(N31*100*2))/2)/100</f>
        <v>13.5</v>
      </c>
      <c r="O30" s="2043">
        <f>N30*$H30</f>
        <v>505.57500000000005</v>
      </c>
      <c r="P30" s="2503"/>
      <c r="R30" s="3848" t="s">
        <v>1574</v>
      </c>
      <c r="S30" s="3848"/>
      <c r="T30" s="3848"/>
      <c r="U30" s="3904"/>
      <c r="V30" s="3899"/>
      <c r="W30" s="3895"/>
      <c r="X30" s="3895"/>
    </row>
    <row r="31" spans="1:38" ht="17.100000000000001" customHeight="1" x14ac:dyDescent="0.2">
      <c r="A31" s="2503"/>
      <c r="C31" s="1376"/>
      <c r="D31" s="244">
        <v>2</v>
      </c>
      <c r="E31" s="81" t="str">
        <f>IF(OR(D31&gt;10,D31=0),0,INDEX(Preise!$C$45:$N$54,D31,2))</f>
        <v>Eigene Mischung</v>
      </c>
      <c r="G31" s="28"/>
      <c r="H31" s="511">
        <f>IF(OR(D31&gt;10,D31=0),0,INDEX(Preise!$C$45:$N$54,D31,12))</f>
        <v>29.565000000000001</v>
      </c>
      <c r="I31" s="1363"/>
      <c r="J31" s="1420">
        <v>5</v>
      </c>
      <c r="K31" s="396">
        <f>J31*H31</f>
        <v>147.82500000000002</v>
      </c>
      <c r="L31" s="404">
        <v>7</v>
      </c>
      <c r="M31" s="860">
        <f>L31*H31</f>
        <v>206.95500000000001</v>
      </c>
      <c r="N31" s="404">
        <v>9</v>
      </c>
      <c r="O31" s="2043">
        <f>N31*H31</f>
        <v>266.08500000000004</v>
      </c>
      <c r="P31" s="2503"/>
      <c r="R31" s="3848" t="s">
        <v>1575</v>
      </c>
      <c r="S31" s="3848"/>
      <c r="T31" s="3848"/>
      <c r="U31" s="3904"/>
      <c r="V31" s="3899"/>
      <c r="W31" s="3895"/>
      <c r="X31" s="3895"/>
    </row>
    <row r="32" spans="1:38" ht="17.100000000000001" customHeight="1" x14ac:dyDescent="0.2">
      <c r="A32" s="2503"/>
      <c r="C32" s="1376"/>
      <c r="D32" s="1350">
        <v>4</v>
      </c>
      <c r="E32" s="81" t="str">
        <f>IF(OR(D32&gt;10,D32=0),0,INDEX(Preise!$C$45:$N$54,D32,2))</f>
        <v>Mineralfutter Rinder</v>
      </c>
      <c r="G32" s="28"/>
      <c r="H32" s="511">
        <f>IF(OR(D32&gt;10,D32=0),0,INDEX(Preise!$C$45:$N$54,D32,12))</f>
        <v>69.55</v>
      </c>
      <c r="I32" s="1363"/>
      <c r="J32" s="1420">
        <v>0.2</v>
      </c>
      <c r="K32" s="396">
        <f>J32*$H32</f>
        <v>13.91</v>
      </c>
      <c r="L32" s="404">
        <v>0.3</v>
      </c>
      <c r="M32" s="860">
        <f>L32*$H32</f>
        <v>20.864999999999998</v>
      </c>
      <c r="N32" s="404">
        <v>0.4</v>
      </c>
      <c r="O32" s="2043">
        <f>N32*$H32</f>
        <v>27.82</v>
      </c>
      <c r="P32" s="2503"/>
      <c r="R32" s="28"/>
      <c r="S32" s="28"/>
      <c r="T32" s="28"/>
    </row>
    <row r="33" spans="1:62" ht="17.100000000000001" customHeight="1" x14ac:dyDescent="0.2">
      <c r="A33" s="2503"/>
      <c r="C33" s="1376"/>
      <c r="D33" s="1350">
        <v>5</v>
      </c>
      <c r="E33" s="81" t="s">
        <v>145</v>
      </c>
      <c r="G33" s="28"/>
      <c r="H33" s="511">
        <f>IF(OR(D33&gt;10,D33=0),0,INDEX(Preise!$C$45:$N$54,D33,12))</f>
        <v>112.35</v>
      </c>
      <c r="I33" s="1363"/>
      <c r="J33" s="1420">
        <v>0.2</v>
      </c>
      <c r="K33" s="396">
        <f>J33*$H33</f>
        <v>22.47</v>
      </c>
      <c r="L33" s="404">
        <v>0.3</v>
      </c>
      <c r="M33" s="860">
        <f>L33*$H33</f>
        <v>33.704999999999998</v>
      </c>
      <c r="N33" s="404">
        <v>0.4</v>
      </c>
      <c r="O33" s="2043">
        <f>N33*$H33</f>
        <v>44.94</v>
      </c>
      <c r="P33" s="2503"/>
      <c r="R33" s="3879" t="s">
        <v>1563</v>
      </c>
      <c r="S33" s="3879"/>
      <c r="T33" s="3879"/>
      <c r="U33" s="3878">
        <v>0</v>
      </c>
      <c r="V33" s="3903"/>
      <c r="W33" s="121"/>
      <c r="X33" s="121"/>
    </row>
    <row r="34" spans="1:62" ht="17.100000000000001" customHeight="1" x14ac:dyDescent="0.2">
      <c r="A34" s="2503"/>
      <c r="C34" s="1365"/>
      <c r="D34" s="510">
        <v>7</v>
      </c>
      <c r="E34" s="82" t="str">
        <f>IF(OR(D34&gt;10,D34=0),0,INDEX(Preise!$C$45:$N$54,D34,2))</f>
        <v>Milchaustauscher</v>
      </c>
      <c r="F34" s="127"/>
      <c r="G34" s="16"/>
      <c r="H34" s="512">
        <f>IF(OR(D34&gt;10,D34=0),0,INDEX(Preise!$C$45:$N$54,D34,12))</f>
        <v>322.07</v>
      </c>
      <c r="I34" s="1361"/>
      <c r="J34" s="1421">
        <v>0.05</v>
      </c>
      <c r="K34" s="1351">
        <f>J34*$H34</f>
        <v>16.1035</v>
      </c>
      <c r="L34" s="1353">
        <v>0.05</v>
      </c>
      <c r="M34" s="1352">
        <f>L34*$H34</f>
        <v>16.1035</v>
      </c>
      <c r="N34" s="1353">
        <v>0.05</v>
      </c>
      <c r="O34" s="2044">
        <f>N34*$H34</f>
        <v>16.1035</v>
      </c>
      <c r="P34" s="2503"/>
      <c r="R34" s="3879" t="s">
        <v>1564</v>
      </c>
      <c r="S34" s="3879"/>
      <c r="T34" s="3879"/>
      <c r="U34" s="3898" t="s">
        <v>1570</v>
      </c>
      <c r="V34" s="3899"/>
      <c r="W34" s="3895"/>
      <c r="X34" s="3895"/>
    </row>
    <row r="35" spans="1:62" s="241" customFormat="1" ht="17.100000000000001" customHeight="1" x14ac:dyDescent="0.2">
      <c r="A35" s="2503"/>
      <c r="B35" s="226"/>
      <c r="C35" s="1377"/>
      <c r="D35" s="73" t="s">
        <v>1161</v>
      </c>
      <c r="E35" s="71"/>
      <c r="F35" s="72"/>
      <c r="G35" s="150"/>
      <c r="H35" s="150"/>
      <c r="I35" s="1368" t="s">
        <v>1141</v>
      </c>
      <c r="J35" s="1422">
        <f>SUM(J36:J44)</f>
        <v>510.02623617559516</v>
      </c>
      <c r="K35" s="136">
        <f>J35+J35*Stammdaten!$P$11</f>
        <v>571.22938451666653</v>
      </c>
      <c r="L35" s="862">
        <f>SUM(L36:L44)</f>
        <v>544.86869296130953</v>
      </c>
      <c r="M35" s="853">
        <f>L35+L35*Stammdaten!$P$11</f>
        <v>610.25293611666666</v>
      </c>
      <c r="N35" s="428">
        <f>SUM(N36:N44)</f>
        <v>584.7111497470238</v>
      </c>
      <c r="O35" s="1413">
        <f>N35+N35*Stammdaten!$P$11</f>
        <v>654.87648771666659</v>
      </c>
      <c r="P35" s="2503"/>
      <c r="R35"/>
      <c r="S35"/>
      <c r="T35"/>
    </row>
    <row r="36" spans="1:62" ht="17.100000000000001" customHeight="1" x14ac:dyDescent="0.2">
      <c r="A36" s="2503"/>
      <c r="C36" s="1376"/>
      <c r="D36" s="130"/>
      <c r="E36" s="249" t="s">
        <v>90</v>
      </c>
      <c r="F36" s="162"/>
      <c r="G36" s="22"/>
      <c r="H36" s="22"/>
      <c r="I36" s="1378"/>
      <c r="J36" s="1423">
        <v>116</v>
      </c>
      <c r="K36" s="408"/>
      <c r="L36" s="406">
        <v>126</v>
      </c>
      <c r="M36" s="861"/>
      <c r="N36" s="406">
        <v>140</v>
      </c>
      <c r="O36" s="2045"/>
      <c r="P36" s="2503"/>
      <c r="R36" s="3905" t="s">
        <v>1576</v>
      </c>
      <c r="S36"/>
      <c r="T36"/>
      <c r="U36"/>
      <c r="V36"/>
      <c r="W36"/>
      <c r="X36"/>
      <c r="AL36" s="411"/>
      <c r="AM36" s="411"/>
      <c r="AN36" s="411"/>
      <c r="AO36" s="411"/>
    </row>
    <row r="37" spans="1:62" ht="17.100000000000001" customHeight="1" x14ac:dyDescent="0.2">
      <c r="A37" s="2503"/>
      <c r="C37" s="1376"/>
      <c r="D37" s="130"/>
      <c r="E37" s="249" t="s">
        <v>1088</v>
      </c>
      <c r="F37" s="162"/>
      <c r="G37" s="22"/>
      <c r="H37" s="22"/>
      <c r="I37" s="1369"/>
      <c r="J37" s="1423">
        <v>32</v>
      </c>
      <c r="K37" s="408"/>
      <c r="L37" s="406">
        <v>32</v>
      </c>
      <c r="M37" s="861"/>
      <c r="N37" s="406">
        <v>34</v>
      </c>
      <c r="O37" s="2045"/>
      <c r="P37" s="2503"/>
      <c r="R37" s="3848" t="s">
        <v>1566</v>
      </c>
      <c r="S37"/>
      <c r="T37"/>
      <c r="U37"/>
      <c r="V37"/>
      <c r="W37"/>
      <c r="X37"/>
      <c r="AL37" s="411"/>
      <c r="AN37" s="411"/>
      <c r="AO37" s="411"/>
      <c r="BA37" s="701" t="s">
        <v>405</v>
      </c>
      <c r="BB37" s="499"/>
      <c r="BC37" s="499"/>
      <c r="BD37" s="499"/>
      <c r="BE37" s="499"/>
      <c r="BF37" s="499"/>
      <c r="BG37" s="702"/>
    </row>
    <row r="38" spans="1:62" ht="17.100000000000001" customHeight="1" x14ac:dyDescent="0.2">
      <c r="A38" s="2503"/>
      <c r="C38" s="1376"/>
      <c r="D38" s="130"/>
      <c r="E38" s="250" t="s">
        <v>894</v>
      </c>
      <c r="F38" s="2825">
        <v>4</v>
      </c>
      <c r="G38" s="2223" t="s">
        <v>586</v>
      </c>
      <c r="H38" s="2223"/>
      <c r="I38" s="1369"/>
      <c r="J38" s="2226">
        <f>(J91*Preise!$N$55)/(1+Stammdaten!$P$11)</f>
        <v>56.300150193452374</v>
      </c>
      <c r="K38" s="408"/>
      <c r="L38" s="2227">
        <f>(L91*Preise!$N$55)/(1+Stammdaten!$P$11)</f>
        <v>60.981667693452373</v>
      </c>
      <c r="M38" s="861"/>
      <c r="N38" s="2227">
        <f>(N91*Preise!$N$55)/(1+Stammdaten!$P$11)</f>
        <v>65.663185193452378</v>
      </c>
      <c r="O38" s="2045"/>
      <c r="P38" s="2503"/>
      <c r="R38"/>
      <c r="S38"/>
      <c r="T38"/>
      <c r="U38"/>
      <c r="V38"/>
      <c r="W38"/>
      <c r="X38"/>
      <c r="Z38" s="3818" t="s">
        <v>1565</v>
      </c>
      <c r="AF38" s="241" t="s">
        <v>1164</v>
      </c>
      <c r="AL38" s="411"/>
      <c r="AP38" s="241" t="s">
        <v>1165</v>
      </c>
      <c r="AU38" s="105" t="s">
        <v>221</v>
      </c>
      <c r="BA38" s="131"/>
      <c r="BB38" s="111"/>
      <c r="BC38" s="111"/>
      <c r="BD38" s="139"/>
      <c r="BE38" s="698"/>
      <c r="BF38" s="153"/>
      <c r="BG38" s="698"/>
      <c r="BJ38" s="105" t="s">
        <v>1082</v>
      </c>
    </row>
    <row r="39" spans="1:62" ht="17.100000000000001" customHeight="1" x14ac:dyDescent="0.2">
      <c r="A39" s="2503"/>
      <c r="C39" s="1376"/>
      <c r="D39" s="130"/>
      <c r="E39" s="250" t="s">
        <v>897</v>
      </c>
      <c r="F39" s="2825">
        <v>3</v>
      </c>
      <c r="G39" s="2223" t="s">
        <v>719</v>
      </c>
      <c r="H39" s="2223"/>
      <c r="I39" s="1369"/>
      <c r="J39" s="2226">
        <f>(J7/100*$F$39*Preise!$N$56)/(1+Stammdaten!$P$11)</f>
        <v>66.3</v>
      </c>
      <c r="K39" s="408"/>
      <c r="L39" s="2227">
        <f>(L7/100*$F$39*Preise!$N$56)/(1+Stammdaten!$P$11)</f>
        <v>76.5</v>
      </c>
      <c r="M39" s="861"/>
      <c r="N39" s="2227">
        <f>(N7/100*$F$39*Preise!$N$56)/(1+Stammdaten!$P$11)</f>
        <v>86.7</v>
      </c>
      <c r="O39" s="2045"/>
      <c r="P39" s="2503"/>
      <c r="R39"/>
      <c r="S39"/>
      <c r="T39"/>
      <c r="U39"/>
      <c r="V39"/>
      <c r="W39"/>
      <c r="X39"/>
      <c r="Z39" s="241"/>
      <c r="AF39" s="241"/>
      <c r="AL39" s="411"/>
      <c r="AP39" s="241"/>
      <c r="BA39" s="131"/>
      <c r="BB39" s="111"/>
      <c r="BC39" s="111"/>
      <c r="BD39" s="131"/>
      <c r="BE39" s="699"/>
      <c r="BF39" s="468"/>
      <c r="BG39" s="699"/>
    </row>
    <row r="40" spans="1:62" ht="17.100000000000001" customHeight="1" x14ac:dyDescent="0.2">
      <c r="A40" s="2503"/>
      <c r="C40" s="1376"/>
      <c r="D40" s="130"/>
      <c r="E40" s="250" t="s">
        <v>1177</v>
      </c>
      <c r="F40" s="162"/>
      <c r="G40" s="163"/>
      <c r="H40" s="163"/>
      <c r="I40" s="1369"/>
      <c r="J40" s="1423">
        <v>26</v>
      </c>
      <c r="K40" s="408"/>
      <c r="L40" s="406">
        <v>26</v>
      </c>
      <c r="M40" s="861"/>
      <c r="N40" s="406">
        <v>26</v>
      </c>
      <c r="O40" s="2045"/>
      <c r="P40" s="2503"/>
      <c r="Q40"/>
      <c r="R40"/>
      <c r="S40"/>
      <c r="T40"/>
      <c r="U40"/>
      <c r="V40"/>
      <c r="W40"/>
      <c r="X40"/>
      <c r="AC40" s="3895" t="s">
        <v>1191</v>
      </c>
      <c r="AD40" s="3895"/>
      <c r="AE40" s="3895"/>
      <c r="AF40" s="3895"/>
      <c r="AG40" s="3895"/>
      <c r="AH40" s="3895"/>
      <c r="AI40" s="3895"/>
      <c r="AJ40" s="3895"/>
      <c r="AK40" s="3895"/>
      <c r="AL40" s="3896"/>
      <c r="AM40" s="3895"/>
      <c r="AN40" s="3896"/>
      <c r="AO40" s="3896"/>
      <c r="AP40" s="3895"/>
      <c r="BA40" s="131" t="s">
        <v>400</v>
      </c>
      <c r="BB40" s="111"/>
      <c r="BC40" s="111"/>
      <c r="BD40" s="131" t="s">
        <v>401</v>
      </c>
      <c r="BE40" s="699"/>
      <c r="BF40" s="703">
        <v>14.3</v>
      </c>
      <c r="BG40" s="699"/>
    </row>
    <row r="41" spans="1:62" ht="17.100000000000001" customHeight="1" x14ac:dyDescent="0.2">
      <c r="A41" s="2503"/>
      <c r="C41" s="1376"/>
      <c r="D41" s="130"/>
      <c r="E41" s="249" t="s">
        <v>1192</v>
      </c>
      <c r="F41" s="162"/>
      <c r="G41" s="163"/>
      <c r="H41" s="163"/>
      <c r="I41" s="1369"/>
      <c r="J41" s="1423">
        <v>23</v>
      </c>
      <c r="K41" s="408"/>
      <c r="L41" s="406">
        <v>26</v>
      </c>
      <c r="M41" s="861"/>
      <c r="N41" s="406">
        <v>28</v>
      </c>
      <c r="O41" s="2045"/>
      <c r="P41" s="2503"/>
      <c r="Q41"/>
      <c r="R41"/>
      <c r="S41"/>
      <c r="T41"/>
      <c r="U41"/>
      <c r="V41"/>
      <c r="W41"/>
      <c r="X41"/>
      <c r="AC41" s="3897" t="s">
        <v>1193</v>
      </c>
      <c r="AD41" s="3895"/>
      <c r="AE41" s="3895"/>
      <c r="AF41" s="3895"/>
      <c r="AG41" s="3895"/>
      <c r="AH41" s="3895"/>
      <c r="AI41" s="3895"/>
      <c r="AJ41" s="3895"/>
      <c r="AK41" s="3895"/>
      <c r="AL41" s="3896"/>
      <c r="AM41" s="3895"/>
      <c r="AN41" s="3896"/>
      <c r="AO41" s="3896"/>
      <c r="AP41" s="3895"/>
      <c r="BA41" s="131"/>
      <c r="BB41" s="111"/>
      <c r="BC41" s="111"/>
      <c r="BD41" s="131" t="s">
        <v>402</v>
      </c>
      <c r="BE41" s="699"/>
      <c r="BF41" s="703">
        <v>16.899999999999999</v>
      </c>
      <c r="BG41" s="699"/>
    </row>
    <row r="42" spans="1:62" ht="17.100000000000001" customHeight="1" x14ac:dyDescent="0.2">
      <c r="A42" s="2503"/>
      <c r="C42" s="1376"/>
      <c r="D42" s="130"/>
      <c r="E42" s="543" t="s">
        <v>760</v>
      </c>
      <c r="F42" s="162"/>
      <c r="G42" s="163"/>
      <c r="H42" s="163"/>
      <c r="I42" s="1369"/>
      <c r="J42" s="2226">
        <f>(J95*Preise!$N$58)/(1+Stammdaten!$P$11)</f>
        <v>47.568943124999997</v>
      </c>
      <c r="K42" s="408"/>
      <c r="L42" s="2227">
        <f>(L95*Preise!$N$58)/(1+Stammdaten!$P$11)</f>
        <v>52.744168124999987</v>
      </c>
      <c r="M42" s="861"/>
      <c r="N42" s="2227">
        <f>(N95*Preise!$N$58)/(1+Stammdaten!$P$11)</f>
        <v>57.919393125000006</v>
      </c>
      <c r="O42" s="2045"/>
      <c r="P42" s="2503"/>
      <c r="Q42"/>
      <c r="R42"/>
      <c r="S42"/>
      <c r="T42"/>
      <c r="U42"/>
      <c r="V42"/>
      <c r="W42"/>
      <c r="X42"/>
      <c r="AC42" s="3848" t="s">
        <v>33</v>
      </c>
      <c r="AD42" s="3895"/>
      <c r="AE42" s="3895"/>
      <c r="AF42" s="3895"/>
      <c r="AG42" s="3895"/>
      <c r="AH42" s="3895"/>
      <c r="AI42" s="3895"/>
      <c r="AJ42" s="3895"/>
      <c r="AK42" s="3895"/>
      <c r="AL42" s="3896"/>
      <c r="AM42" s="3895"/>
      <c r="AN42" s="411"/>
      <c r="AO42" s="411"/>
      <c r="BA42" s="139" t="s">
        <v>403</v>
      </c>
      <c r="BB42" s="121"/>
      <c r="BC42" s="121"/>
      <c r="BD42" s="139" t="s">
        <v>401</v>
      </c>
      <c r="BE42" s="698"/>
      <c r="BF42" s="704">
        <v>7.7</v>
      </c>
      <c r="BG42" s="698"/>
    </row>
    <row r="43" spans="1:62" ht="17.100000000000001" customHeight="1" x14ac:dyDescent="0.3">
      <c r="A43" s="2503"/>
      <c r="C43" s="1376"/>
      <c r="D43" s="130"/>
      <c r="E43" s="1886" t="s">
        <v>34</v>
      </c>
      <c r="F43" s="2563" t="str">
        <f>"überbetriebliche Gülleausbringung ( "&amp;ROUND(J92,0)&amp;" / "&amp;ROUND(L92,0)&amp;" / "&amp;ROUND(N92,0)&amp;" m³)"</f>
        <v>überbetriebliche Gülleausbringung ( 19 / 20 / 20 m³)</v>
      </c>
      <c r="G43" s="2560"/>
      <c r="H43" s="2560"/>
      <c r="I43" s="1369"/>
      <c r="J43" s="2254">
        <f>((ROUND(J92*Preise!$N$57,0)))/(1+Stammdaten!$P$11)</f>
        <v>92.857142857142847</v>
      </c>
      <c r="K43" s="2557"/>
      <c r="L43" s="2255">
        <f>((ROUND(L92*Preise!$N$57,0)))/(1+Stammdaten!$P$11)</f>
        <v>94.642857142857139</v>
      </c>
      <c r="M43" s="2558"/>
      <c r="N43" s="2255">
        <f>((ROUND(N92*Preise!$N$57,0)))/(1+Stammdaten!$P$11)</f>
        <v>96.428571428571416</v>
      </c>
      <c r="O43" s="2559"/>
      <c r="P43" s="2503"/>
      <c r="Q43"/>
      <c r="R43"/>
      <c r="S43"/>
      <c r="T43"/>
      <c r="U43"/>
      <c r="V43"/>
      <c r="W43"/>
      <c r="X43"/>
      <c r="AC43" s="3848" t="s">
        <v>35</v>
      </c>
      <c r="AD43" s="3895"/>
      <c r="AE43" s="3895"/>
      <c r="AF43" s="3895"/>
      <c r="AG43" s="3895"/>
      <c r="AH43" s="3895"/>
      <c r="AI43" s="3895"/>
      <c r="AJ43" s="3895"/>
      <c r="AK43" s="3895"/>
      <c r="AL43" s="3896"/>
      <c r="AM43" s="3895"/>
      <c r="AN43" s="411"/>
      <c r="AO43" s="411"/>
      <c r="BA43" s="142"/>
      <c r="BB43" s="127"/>
      <c r="BC43" s="127"/>
      <c r="BD43" s="142" t="s">
        <v>402</v>
      </c>
      <c r="BE43" s="700"/>
      <c r="BF43" s="705">
        <v>10.199999999999999</v>
      </c>
      <c r="BG43" s="700"/>
    </row>
    <row r="44" spans="1:62" ht="17.100000000000001" customHeight="1" x14ac:dyDescent="0.2">
      <c r="A44" s="2503"/>
      <c r="C44" s="1365"/>
      <c r="D44" s="138"/>
      <c r="E44" s="251" t="s">
        <v>36</v>
      </c>
      <c r="F44" s="254" t="s">
        <v>37</v>
      </c>
      <c r="G44" s="542"/>
      <c r="H44" s="542"/>
      <c r="I44" s="1379"/>
      <c r="J44" s="1424">
        <v>50</v>
      </c>
      <c r="K44" s="408"/>
      <c r="L44" s="407">
        <v>50</v>
      </c>
      <c r="M44" s="861"/>
      <c r="N44" s="407">
        <v>50</v>
      </c>
      <c r="O44" s="2045"/>
      <c r="P44" s="2503"/>
      <c r="Q44"/>
      <c r="R44"/>
      <c r="S44"/>
      <c r="T44"/>
      <c r="U44"/>
      <c r="V44"/>
      <c r="W44"/>
      <c r="X44"/>
      <c r="AL44" s="411"/>
      <c r="AN44" s="411"/>
      <c r="AO44" s="411"/>
      <c r="BA44" s="497" t="s">
        <v>404</v>
      </c>
      <c r="BB44" s="499"/>
      <c r="BC44" s="499"/>
      <c r="BD44" s="497"/>
      <c r="BE44" s="702"/>
      <c r="BF44" s="706">
        <v>4.5999999999999996</v>
      </c>
      <c r="BG44" s="702"/>
    </row>
    <row r="45" spans="1:62" s="241" customFormat="1" ht="17.100000000000001" customHeight="1" x14ac:dyDescent="0.2">
      <c r="A45" s="2503"/>
      <c r="B45" s="226"/>
      <c r="C45" s="1380"/>
      <c r="D45" s="123" t="s">
        <v>39</v>
      </c>
      <c r="E45" s="151"/>
      <c r="F45" s="121"/>
      <c r="G45" s="130"/>
      <c r="H45" s="152"/>
      <c r="I45" s="1364" t="s">
        <v>1141</v>
      </c>
      <c r="J45" s="1370"/>
      <c r="K45" s="136">
        <f>K46*G46/100</f>
        <v>41.920459874999999</v>
      </c>
      <c r="L45" s="863"/>
      <c r="M45" s="853">
        <f>M46*G46/100</f>
        <v>27.137959875</v>
      </c>
      <c r="N45" s="139"/>
      <c r="O45" s="1413">
        <f>O46*G46/100</f>
        <v>27.137959875</v>
      </c>
      <c r="P45" s="2503"/>
      <c r="Q45"/>
      <c r="R45"/>
      <c r="S45"/>
      <c r="T45"/>
      <c r="U45"/>
      <c r="V45"/>
      <c r="W45"/>
      <c r="X45"/>
      <c r="AL45" s="412"/>
      <c r="AM45" s="412"/>
      <c r="AN45" s="412"/>
      <c r="AO45" s="411"/>
    </row>
    <row r="46" spans="1:62" s="241" customFormat="1" ht="17.100000000000001" customHeight="1" x14ac:dyDescent="0.2">
      <c r="A46" s="2503"/>
      <c r="B46" s="226"/>
      <c r="C46" s="1377"/>
      <c r="D46" s="130"/>
      <c r="E46" s="124" t="s">
        <v>40</v>
      </c>
      <c r="F46" s="130"/>
      <c r="G46" s="263">
        <f>Stammdaten!P30</f>
        <v>1.5</v>
      </c>
      <c r="H46" s="28"/>
      <c r="I46" s="1378" t="s">
        <v>41</v>
      </c>
      <c r="J46" s="1406"/>
      <c r="K46" s="427">
        <f>(K27+(K19)/2)</f>
        <v>2794.6973250000001</v>
      </c>
      <c r="L46" s="851"/>
      <c r="M46" s="864">
        <f>(M27+M19)/2</f>
        <v>1809.1973250000001</v>
      </c>
      <c r="N46" s="37"/>
      <c r="O46" s="2046">
        <f>(O27+O19)/2</f>
        <v>1809.1973250000001</v>
      </c>
      <c r="P46" s="2503"/>
      <c r="Q46"/>
      <c r="R46"/>
      <c r="S46"/>
      <c r="T46"/>
      <c r="U46"/>
      <c r="V46"/>
      <c r="W46"/>
      <c r="X46"/>
    </row>
    <row r="47" spans="1:62" s="241" customFormat="1" ht="17.100000000000001" customHeight="1" x14ac:dyDescent="0.2">
      <c r="A47" s="2503"/>
      <c r="B47" s="226"/>
      <c r="C47" s="1381"/>
      <c r="D47" s="74" t="s">
        <v>900</v>
      </c>
      <c r="E47" s="121"/>
      <c r="F47" s="121"/>
      <c r="G47" s="121"/>
      <c r="H47" s="121"/>
      <c r="I47" s="1364" t="s">
        <v>1141</v>
      </c>
      <c r="J47" s="2530"/>
      <c r="K47" s="136">
        <f>K51+K54+K57</f>
        <v>1027.2901902999999</v>
      </c>
      <c r="L47" s="2531"/>
      <c r="M47" s="853">
        <f>M51+M54+M57</f>
        <v>1115.4460778999999</v>
      </c>
      <c r="N47" s="2532"/>
      <c r="O47" s="1413">
        <f>O51+O54+O57</f>
        <v>1198.9692935000003</v>
      </c>
      <c r="P47" s="2503"/>
      <c r="Q47"/>
      <c r="R47"/>
      <c r="S47"/>
      <c r="T47"/>
      <c r="U47"/>
      <c r="V47"/>
      <c r="W47"/>
      <c r="X47"/>
      <c r="AL47" s="241" t="s">
        <v>43</v>
      </c>
    </row>
    <row r="48" spans="1:62" s="241" customFormat="1" ht="17.100000000000001" customHeight="1" x14ac:dyDescent="0.2">
      <c r="A48" s="2503"/>
      <c r="B48" s="226"/>
      <c r="C48" s="1377"/>
      <c r="D48" s="130"/>
      <c r="E48" s="150"/>
      <c r="F48" s="130"/>
      <c r="G48" s="130"/>
      <c r="H48" s="28"/>
      <c r="I48" s="1382" t="s">
        <v>44</v>
      </c>
      <c r="J48" s="1406"/>
      <c r="K48" s="2264">
        <f>K47/J49</f>
        <v>0.41302</v>
      </c>
      <c r="L48" s="851"/>
      <c r="M48" s="2265">
        <f>M47/L49</f>
        <v>0.40445999999999999</v>
      </c>
      <c r="N48" s="37"/>
      <c r="O48" s="2266">
        <f>O47/N49</f>
        <v>0.39590000000000003</v>
      </c>
      <c r="P48" s="2503"/>
      <c r="Q48"/>
      <c r="R48"/>
      <c r="S48"/>
      <c r="T48"/>
      <c r="U48"/>
      <c r="V48"/>
      <c r="W48"/>
      <c r="X48"/>
      <c r="Y48"/>
      <c r="Z48"/>
    </row>
    <row r="49" spans="1:60" s="241" customFormat="1" ht="17.100000000000001" customHeight="1" x14ac:dyDescent="0.2">
      <c r="A49" s="2503"/>
      <c r="B49" s="226"/>
      <c r="C49" s="1377"/>
      <c r="D49" s="130"/>
      <c r="E49" s="81" t="s">
        <v>45</v>
      </c>
      <c r="F49" s="111"/>
      <c r="G49" s="478"/>
      <c r="H49" s="28"/>
      <c r="I49" s="1382" t="s">
        <v>46</v>
      </c>
      <c r="J49" s="1425">
        <f>(Kalkulationshilfen!$J$10+J8*Kalkulationshilfen!$J$14)*(100+Kalkulationshilfen!$J$18)/1000</f>
        <v>2487.2649999999999</v>
      </c>
      <c r="K49" s="2533" t="str">
        <f>IF(AB57=100,"","100% ?")</f>
        <v/>
      </c>
      <c r="L49" s="865">
        <f>(Kalkulationshilfen!$J$10+L8*Kalkulationshilfen!$J$14)*(100+Kalkulationshilfen!$J$18)/1000</f>
        <v>2757.8649999999998</v>
      </c>
      <c r="M49" s="2534" t="str">
        <f>IF(AD57=100,"","100% ?")</f>
        <v/>
      </c>
      <c r="N49" s="479">
        <f>(Kalkulationshilfen!$J$10+N8*Kalkulationshilfen!$J$14)*(100+Kalkulationshilfen!$J$18)/1000</f>
        <v>3028.4650000000006</v>
      </c>
      <c r="O49" s="2535" t="str">
        <f>IF(AF57=100,"","100% ?")</f>
        <v/>
      </c>
      <c r="P49" s="2503"/>
      <c r="Q49"/>
      <c r="R49" s="3848" t="s">
        <v>1571</v>
      </c>
      <c r="S49" s="3848"/>
      <c r="T49" s="3848"/>
      <c r="U49" s="3848"/>
      <c r="V49" s="3848"/>
      <c r="W49"/>
      <c r="AB49" s="241" t="s">
        <v>155</v>
      </c>
      <c r="AI49" t="s">
        <v>109</v>
      </c>
      <c r="AJ49"/>
      <c r="AK49"/>
      <c r="AO49" t="s">
        <v>111</v>
      </c>
      <c r="AX49" s="2523" t="s">
        <v>593</v>
      </c>
      <c r="AY49" s="2524" t="s">
        <v>179</v>
      </c>
      <c r="AZ49" s="2524" t="s">
        <v>178</v>
      </c>
      <c r="BA49" s="2524" t="s">
        <v>178</v>
      </c>
      <c r="BB49" s="2991" t="s">
        <v>178</v>
      </c>
      <c r="BC49" s="2993" t="s">
        <v>346</v>
      </c>
      <c r="BD49" s="2993" t="s">
        <v>346</v>
      </c>
      <c r="BE49" s="2993" t="s">
        <v>346</v>
      </c>
      <c r="BF49" s="2992" t="s">
        <v>178</v>
      </c>
      <c r="BG49" s="2524" t="s">
        <v>178</v>
      </c>
      <c r="BH49" s="2524" t="s">
        <v>178</v>
      </c>
    </row>
    <row r="50" spans="1:60" s="241" customFormat="1" ht="17.100000000000001" customHeight="1" x14ac:dyDescent="0.2">
      <c r="A50" s="2503"/>
      <c r="B50" s="226"/>
      <c r="C50" s="1377"/>
      <c r="D50" s="3819" t="str">
        <f>VLOOKUP(R50,Preise!$C$62:$E$68,2,FALSE)</f>
        <v>Silomais</v>
      </c>
      <c r="E50" s="2525"/>
      <c r="F50" s="2525"/>
      <c r="G50" s="2257"/>
      <c r="H50" s="2522" t="s">
        <v>515</v>
      </c>
      <c r="I50" s="2258" t="s">
        <v>961</v>
      </c>
      <c r="J50" s="2259">
        <v>40</v>
      </c>
      <c r="K50" s="2260"/>
      <c r="L50" s="2261">
        <v>50</v>
      </c>
      <c r="M50" s="2262"/>
      <c r="N50" s="2261">
        <v>60</v>
      </c>
      <c r="O50" s="2263"/>
      <c r="P50" s="2503"/>
      <c r="Q50"/>
      <c r="R50" s="3816">
        <v>7</v>
      </c>
      <c r="S50" s="2523" t="str">
        <f>VLOOKUP($R$50,Preise!$C$62:$N$68,2,FALSE)</f>
        <v>Silomais</v>
      </c>
      <c r="T50" t="s">
        <v>518</v>
      </c>
      <c r="U50"/>
      <c r="V50"/>
      <c r="W50"/>
      <c r="X50" s="3818" t="s">
        <v>1509</v>
      </c>
      <c r="AB50" s="2523">
        <f t="shared" ref="AB50:AG50" si="0">J50</f>
        <v>40</v>
      </c>
      <c r="AC50" s="2523">
        <f t="shared" si="0"/>
        <v>0</v>
      </c>
      <c r="AD50" s="2523">
        <f t="shared" si="0"/>
        <v>50</v>
      </c>
      <c r="AE50" s="2523">
        <f t="shared" si="0"/>
        <v>0</v>
      </c>
      <c r="AF50" s="2523">
        <f t="shared" si="0"/>
        <v>60</v>
      </c>
      <c r="AG50" s="412">
        <f t="shared" si="0"/>
        <v>0</v>
      </c>
      <c r="AI50" s="2523">
        <f t="shared" ref="AI50:AI57" si="1">IF(OR($R50=2,$R50=4,$R50=5,$R50=6),J50,0)</f>
        <v>0</v>
      </c>
      <c r="AK50" s="2523">
        <f t="shared" ref="AK50:AK57" si="2">IF(OR($R50=2,$R50=4,$R50=5,$R50=6),L50,0)</f>
        <v>0</v>
      </c>
      <c r="AM50" s="2523">
        <f t="shared" ref="AM50:AM57" si="3">IF(OR($R50=2,$R50=4,$R50=5,$R50=6),N50,0)</f>
        <v>0</v>
      </c>
      <c r="AO50" s="2523">
        <f t="shared" ref="AO50:AO57" si="4">IF(OR($R50=4,$R50=5),J50,0)</f>
        <v>0</v>
      </c>
      <c r="AQ50" s="2523">
        <f t="shared" ref="AQ50:AQ57" si="5">IF(OR($R50=4,$R50=5),L50,0)</f>
        <v>0</v>
      </c>
      <c r="AS50" s="2523">
        <f t="shared" ref="AS50:AS57" si="6">IF(OR($R50=4,$R50=5),N50,0)</f>
        <v>0</v>
      </c>
      <c r="AX50" s="2523"/>
      <c r="AY50" s="2523"/>
      <c r="BC50" s="117"/>
      <c r="BD50" s="119"/>
      <c r="BE50" s="2994"/>
    </row>
    <row r="51" spans="1:60" s="241" customFormat="1" ht="17.100000000000001" customHeight="1" x14ac:dyDescent="0.2">
      <c r="A51" s="2503"/>
      <c r="B51" s="226"/>
      <c r="C51" s="1377"/>
      <c r="D51" s="2270" t="str">
        <f>"(--&gt;" &amp;R51&amp; "€/10 MJNEL)"</f>
        <v>(--&gt;0,3745€/10 MJNEL)</v>
      </c>
      <c r="F51" s="2271"/>
      <c r="G51" s="478" t="s">
        <v>861</v>
      </c>
      <c r="H51" s="28"/>
      <c r="I51" s="1382" t="s">
        <v>135</v>
      </c>
      <c r="J51" s="1425">
        <f>J49*J50/100</f>
        <v>994.90599999999995</v>
      </c>
      <c r="K51" s="2269">
        <f>$J$51*$R51</f>
        <v>372.59229699999997</v>
      </c>
      <c r="L51" s="865">
        <f>L49*L50/100</f>
        <v>1378.9324999999999</v>
      </c>
      <c r="M51" s="2268">
        <f>$L$51*$R51</f>
        <v>516.41022124999995</v>
      </c>
      <c r="N51" s="479">
        <f>N49*N50/100</f>
        <v>1817.0790000000002</v>
      </c>
      <c r="O51" s="2272">
        <f>$N$51*$R51</f>
        <v>680.49608550000005</v>
      </c>
      <c r="P51" s="2503"/>
      <c r="Q51"/>
      <c r="R51" s="2523">
        <f>VLOOKUP($R$50,Preise!$C$62:$N$69,12,FALSE)</f>
        <v>0.3745</v>
      </c>
      <c r="S51" s="2524" t="s">
        <v>517</v>
      </c>
      <c r="T51" t="s">
        <v>1115</v>
      </c>
      <c r="U51"/>
      <c r="V51"/>
      <c r="W51"/>
      <c r="AB51" s="2523"/>
      <c r="AC51" s="2523"/>
      <c r="AD51" s="2523"/>
      <c r="AE51" s="2523"/>
      <c r="AF51" s="2523"/>
      <c r="AI51" s="2523">
        <f t="shared" si="1"/>
        <v>0</v>
      </c>
      <c r="AK51" s="2523">
        <f t="shared" si="2"/>
        <v>0</v>
      </c>
      <c r="AM51" s="2523">
        <f t="shared" si="3"/>
        <v>0</v>
      </c>
      <c r="AO51" s="2523">
        <f t="shared" si="4"/>
        <v>0</v>
      </c>
      <c r="AQ51" s="2523">
        <f t="shared" si="5"/>
        <v>0</v>
      </c>
      <c r="AS51" s="2523">
        <f t="shared" si="6"/>
        <v>0</v>
      </c>
      <c r="AX51" s="2523">
        <f>VLOOKUP($R50,Preise!$C$62:$U$69,Preise!$T$60,FALSE)</f>
        <v>7385</v>
      </c>
      <c r="AY51" s="2523">
        <f>VLOOKUP($R50,Preise!$C$62:$U$69,Preise!$U$60,FALSE)</f>
        <v>15.1</v>
      </c>
      <c r="AZ51" s="2524">
        <f>$J50/100*AY51</f>
        <v>6.04</v>
      </c>
      <c r="BA51" s="2524">
        <f>$L50/100*AY51</f>
        <v>7.55</v>
      </c>
      <c r="BB51" s="2991">
        <f>$N50/100*AY51</f>
        <v>9.0599999999999987</v>
      </c>
      <c r="BC51" s="2993">
        <f>J51/$AX51</f>
        <v>0.13471983750846309</v>
      </c>
      <c r="BD51" s="2993">
        <f>L51/$AX51</f>
        <v>0.18672071767095463</v>
      </c>
      <c r="BE51" s="2993">
        <f>N51/$AX51</f>
        <v>0.2460499661475965</v>
      </c>
      <c r="BF51" s="2992">
        <f>$AY51*BC51</f>
        <v>2.0342695463777924</v>
      </c>
      <c r="BG51" s="2524">
        <f>$AY51*BD51</f>
        <v>2.8194828368314151</v>
      </c>
      <c r="BH51" s="2524">
        <f>$AY51*BE51</f>
        <v>3.7153544888287069</v>
      </c>
    </row>
    <row r="52" spans="1:60" s="241" customFormat="1" ht="17.100000000000001" customHeight="1" x14ac:dyDescent="0.2">
      <c r="A52" s="2503"/>
      <c r="B52" s="226"/>
      <c r="C52" s="1377"/>
      <c r="D52" s="2270" t="str">
        <f>"(--&gt;" &amp;R52&amp; "€/10 MJNEL)"</f>
        <v>(--&gt;0,1605€/10 MJNEL)</v>
      </c>
      <c r="E52" s="2270"/>
      <c r="F52" s="2271"/>
      <c r="G52" s="478" t="s">
        <v>474</v>
      </c>
      <c r="H52" s="28"/>
      <c r="I52" s="1382"/>
      <c r="J52" s="1425"/>
      <c r="K52" s="2269">
        <f>$J51*$R52</f>
        <v>159.682413</v>
      </c>
      <c r="L52" s="865"/>
      <c r="M52" s="2268">
        <f>$L51*$R52</f>
        <v>221.31866624999998</v>
      </c>
      <c r="N52" s="479"/>
      <c r="O52" s="2267">
        <f>$N51*$R52</f>
        <v>291.64117950000002</v>
      </c>
      <c r="P52" s="2503"/>
      <c r="Q52"/>
      <c r="R52" s="2523">
        <f>VLOOKUP($R$50,Preise!$C$74:$N$81,12,FALSE)</f>
        <v>0.1605</v>
      </c>
      <c r="S52" s="2524" t="s">
        <v>517</v>
      </c>
      <c r="T52" t="s">
        <v>474</v>
      </c>
      <c r="U52"/>
      <c r="V52"/>
      <c r="W52"/>
      <c r="AB52" s="2523"/>
      <c r="AC52" s="2523"/>
      <c r="AD52" s="2523"/>
      <c r="AE52" s="2523"/>
      <c r="AF52" s="2523"/>
      <c r="AI52" s="2523"/>
      <c r="AK52" s="2523"/>
      <c r="AM52" s="2523"/>
      <c r="AO52" s="2523"/>
      <c r="AQ52" s="2523"/>
      <c r="AS52" s="2523"/>
      <c r="AX52" s="2523"/>
      <c r="AY52" s="2523"/>
      <c r="BC52" s="117"/>
      <c r="BD52" s="119"/>
      <c r="BE52" s="2994"/>
    </row>
    <row r="53" spans="1:60" s="241" customFormat="1" ht="16.5" customHeight="1" x14ac:dyDescent="0.2">
      <c r="A53" s="2503"/>
      <c r="B53" s="226"/>
      <c r="C53" s="3820"/>
      <c r="D53" s="3819" t="str">
        <f>VLOOKUP(R53,Preise!$C$62:$E$68,2,FALSE)</f>
        <v>Grünland, Silage</v>
      </c>
      <c r="E53" s="2525"/>
      <c r="F53" s="2525"/>
      <c r="G53" s="2257"/>
      <c r="H53" s="2522" t="s">
        <v>516</v>
      </c>
      <c r="I53" s="2258" t="s">
        <v>961</v>
      </c>
      <c r="J53" s="2259">
        <v>50</v>
      </c>
      <c r="K53" s="2260"/>
      <c r="L53" s="2538">
        <v>40</v>
      </c>
      <c r="M53" s="2262"/>
      <c r="N53" s="2538">
        <v>30</v>
      </c>
      <c r="O53" s="2263"/>
      <c r="P53" s="2503"/>
      <c r="Q53"/>
      <c r="R53" s="3817">
        <v>1</v>
      </c>
      <c r="S53" s="2523" t="str">
        <f>VLOOKUP($R$53,Preise!$C$62:$N$68,2,FALSE)</f>
        <v>Grünland, Silage</v>
      </c>
      <c r="T53" t="s">
        <v>518</v>
      </c>
      <c r="U53"/>
      <c r="V53"/>
      <c r="W53"/>
      <c r="X53" s="3818" t="s">
        <v>1509</v>
      </c>
      <c r="AB53" s="2523">
        <f>J53</f>
        <v>50</v>
      </c>
      <c r="AC53" s="2523">
        <f>K53</f>
        <v>0</v>
      </c>
      <c r="AD53" s="2523">
        <f>L53</f>
        <v>40</v>
      </c>
      <c r="AE53" s="2523">
        <f>M53</f>
        <v>0</v>
      </c>
      <c r="AF53" s="2523">
        <f>N53</f>
        <v>30</v>
      </c>
      <c r="AI53" s="2523">
        <f t="shared" si="1"/>
        <v>0</v>
      </c>
      <c r="AK53" s="2523">
        <f t="shared" si="2"/>
        <v>0</v>
      </c>
      <c r="AM53" s="2523">
        <f t="shared" si="3"/>
        <v>0</v>
      </c>
      <c r="AO53" s="2523">
        <f t="shared" si="4"/>
        <v>0</v>
      </c>
      <c r="AQ53" s="2523">
        <f t="shared" si="5"/>
        <v>0</v>
      </c>
      <c r="AS53" s="2523">
        <f t="shared" si="6"/>
        <v>0</v>
      </c>
      <c r="AX53" s="2523"/>
      <c r="AY53" s="2523"/>
      <c r="BC53" s="117"/>
      <c r="BD53" s="119"/>
      <c r="BE53" s="2994"/>
    </row>
    <row r="54" spans="1:60" s="241" customFormat="1" ht="17.100000000000001" customHeight="1" x14ac:dyDescent="0.2">
      <c r="A54" s="2503"/>
      <c r="B54" s="226"/>
      <c r="C54" s="1377"/>
      <c r="D54" s="2270" t="str">
        <f>"(--&gt;" &amp;R54&amp; "€/10 MJNEL)"</f>
        <v>(--&gt;0,4601€/10 MJNEL)</v>
      </c>
      <c r="F54" s="2271"/>
      <c r="G54" s="478" t="s">
        <v>861</v>
      </c>
      <c r="H54" s="28"/>
      <c r="I54" s="1382" t="s">
        <v>136</v>
      </c>
      <c r="J54" s="1425">
        <f>J49*J53/100</f>
        <v>1243.6324999999999</v>
      </c>
      <c r="K54" s="2269">
        <f>J54*$R$54</f>
        <v>572.19531325000003</v>
      </c>
      <c r="L54" s="865">
        <f>L49*L53/100</f>
        <v>1103.146</v>
      </c>
      <c r="M54" s="2268">
        <f>L54*$R$54</f>
        <v>507.55747459999998</v>
      </c>
      <c r="N54" s="479">
        <f>N49*N53/100</f>
        <v>908.53950000000009</v>
      </c>
      <c r="O54" s="2272">
        <f>N54*$R$54</f>
        <v>418.01902395000008</v>
      </c>
      <c r="P54" s="2503"/>
      <c r="Q54"/>
      <c r="R54" s="2523">
        <f>VLOOKUP($R$53,Preise!$C$62:$N$69,12,FALSE)</f>
        <v>0.46010000000000001</v>
      </c>
      <c r="S54" s="2524" t="s">
        <v>517</v>
      </c>
      <c r="T54" t="s">
        <v>1115</v>
      </c>
      <c r="U54"/>
      <c r="V54"/>
      <c r="W54"/>
      <c r="AB54" s="2523"/>
      <c r="AC54" s="2523"/>
      <c r="AD54" s="2523"/>
      <c r="AE54" s="2523"/>
      <c r="AF54" s="2523"/>
      <c r="AI54" s="2523">
        <f t="shared" si="1"/>
        <v>0</v>
      </c>
      <c r="AK54" s="2523">
        <f t="shared" si="2"/>
        <v>0</v>
      </c>
      <c r="AM54" s="2523">
        <f t="shared" si="3"/>
        <v>0</v>
      </c>
      <c r="AO54" s="2523">
        <f t="shared" si="4"/>
        <v>0</v>
      </c>
      <c r="AQ54" s="2523">
        <f t="shared" si="5"/>
        <v>0</v>
      </c>
      <c r="AS54" s="2523">
        <f t="shared" si="6"/>
        <v>0</v>
      </c>
      <c r="AX54" s="2523">
        <f>VLOOKUP(R53,Preise!$C$62:$U$69,Preise!$T$60,FALSE)</f>
        <v>4117</v>
      </c>
      <c r="AY54" s="2523">
        <f>VLOOKUP($R53,Preise!$C$62:$U$69,Preise!$U$60,FALSE)</f>
        <v>12.8</v>
      </c>
      <c r="AZ54" s="2524">
        <f>$J53/100*AY54</f>
        <v>6.4</v>
      </c>
      <c r="BA54" s="2524">
        <f>$L53/100*AY54</f>
        <v>5.120000000000001</v>
      </c>
      <c r="BB54" s="2991">
        <f>$N53/100*AY54</f>
        <v>3.84</v>
      </c>
      <c r="BC54" s="2993">
        <f>J54/$AX54</f>
        <v>0.30207250425066795</v>
      </c>
      <c r="BD54" s="2993">
        <f>L54/$AX54</f>
        <v>0.26794899198445471</v>
      </c>
      <c r="BE54" s="2993">
        <f>N54/$AX54</f>
        <v>0.22067998542628128</v>
      </c>
      <c r="BF54" s="2992">
        <f>$AY54*BC54</f>
        <v>3.8665280544085499</v>
      </c>
      <c r="BG54" s="2524">
        <f>$AY54*BD54</f>
        <v>3.4297470974010205</v>
      </c>
      <c r="BH54" s="2524">
        <f>$AY54*BE54</f>
        <v>2.8247038134564004</v>
      </c>
    </row>
    <row r="55" spans="1:60" s="241" customFormat="1" ht="17.100000000000001" customHeight="1" x14ac:dyDescent="0.2">
      <c r="A55" s="2503"/>
      <c r="B55" s="226"/>
      <c r="C55" s="1377"/>
      <c r="D55" s="2270" t="str">
        <f>"(--&gt;" &amp;R55&amp; "€/10 MJNEL)"</f>
        <v>(--&gt;0,1498€/10 MJNEL)</v>
      </c>
      <c r="E55" s="2270"/>
      <c r="F55" s="2271"/>
      <c r="G55" s="478" t="s">
        <v>474</v>
      </c>
      <c r="H55" s="28"/>
      <c r="I55" s="1382"/>
      <c r="J55" s="1425"/>
      <c r="K55" s="2269">
        <f>$J54*$R55</f>
        <v>186.29614850000002</v>
      </c>
      <c r="L55" s="865"/>
      <c r="M55" s="2268">
        <f>$L54*$R55</f>
        <v>165.25127080000001</v>
      </c>
      <c r="N55" s="479"/>
      <c r="O55" s="2267">
        <f>$N54*$R55</f>
        <v>136.09921710000003</v>
      </c>
      <c r="P55" s="2503"/>
      <c r="Q55"/>
      <c r="R55" s="2523">
        <f>VLOOKUP($R$53,Preise!$C$74:$N$81,12,FALSE)</f>
        <v>0.14980000000000002</v>
      </c>
      <c r="S55" s="2524" t="s">
        <v>517</v>
      </c>
      <c r="T55" t="s">
        <v>474</v>
      </c>
      <c r="U55"/>
      <c r="V55"/>
      <c r="W55"/>
      <c r="AB55" s="2523"/>
      <c r="AC55" s="2523"/>
      <c r="AD55" s="2523"/>
      <c r="AE55" s="2523"/>
      <c r="AF55" s="2523"/>
      <c r="AI55" s="2523"/>
      <c r="AK55" s="2523"/>
      <c r="AM55" s="2523"/>
      <c r="AO55" s="2523"/>
      <c r="AQ55" s="2523"/>
      <c r="AS55" s="2523"/>
      <c r="AX55" s="2523"/>
      <c r="AY55" s="2523"/>
      <c r="BC55" s="117"/>
      <c r="BD55" s="119"/>
      <c r="BE55" s="2994"/>
    </row>
    <row r="56" spans="1:60" s="241" customFormat="1" ht="17.100000000000001" customHeight="1" x14ac:dyDescent="0.2">
      <c r="A56" s="2503"/>
      <c r="B56" s="226"/>
      <c r="C56" s="3820"/>
      <c r="D56" s="3819" t="str">
        <f>VLOOKUP(R56,Preise!$C$62:$E$68,2,FALSE)</f>
        <v>Weide</v>
      </c>
      <c r="E56" s="3821"/>
      <c r="F56" s="2525"/>
      <c r="G56" s="2257"/>
      <c r="H56" s="2522" t="s">
        <v>516</v>
      </c>
      <c r="I56" s="2258" t="s">
        <v>961</v>
      </c>
      <c r="J56" s="2259">
        <v>10</v>
      </c>
      <c r="K56" s="2526"/>
      <c r="L56" s="2261">
        <v>10</v>
      </c>
      <c r="M56" s="2527"/>
      <c r="N56" s="2261">
        <v>10</v>
      </c>
      <c r="O56" s="2528"/>
      <c r="P56" s="2503"/>
      <c r="Q56"/>
      <c r="R56" s="2523">
        <v>5</v>
      </c>
      <c r="S56" s="2523" t="str">
        <f>VLOOKUP($R$56,Preise!$C$62:$N$68,2,FALSE)</f>
        <v>Weide</v>
      </c>
      <c r="T56" t="s">
        <v>518</v>
      </c>
      <c r="U56"/>
      <c r="V56"/>
      <c r="W56"/>
      <c r="AB56" s="2523">
        <f>J56</f>
        <v>10</v>
      </c>
      <c r="AC56" s="2523">
        <f>K56</f>
        <v>0</v>
      </c>
      <c r="AD56" s="2523">
        <f>L56</f>
        <v>10</v>
      </c>
      <c r="AE56" s="2523">
        <f>M56</f>
        <v>0</v>
      </c>
      <c r="AF56" s="2523">
        <f>N56</f>
        <v>10</v>
      </c>
      <c r="AI56" s="2523">
        <f t="shared" si="1"/>
        <v>10</v>
      </c>
      <c r="AK56" s="2523">
        <f t="shared" si="2"/>
        <v>10</v>
      </c>
      <c r="AM56" s="2523">
        <f t="shared" si="3"/>
        <v>10</v>
      </c>
      <c r="AO56" s="2523">
        <f t="shared" si="4"/>
        <v>10</v>
      </c>
      <c r="AQ56" s="2523">
        <f t="shared" si="5"/>
        <v>10</v>
      </c>
      <c r="AS56" s="2523">
        <f t="shared" si="6"/>
        <v>10</v>
      </c>
      <c r="AX56" s="2523"/>
      <c r="AY56" s="2523"/>
      <c r="BC56" s="117"/>
      <c r="BD56" s="119"/>
      <c r="BE56" s="2994"/>
    </row>
    <row r="57" spans="1:60" s="241" customFormat="1" ht="16.5" customHeight="1" x14ac:dyDescent="0.2">
      <c r="A57" s="2503"/>
      <c r="B57" s="226"/>
      <c r="C57" s="1377"/>
      <c r="D57" s="2270" t="str">
        <f>"(--&gt;" &amp;R57&amp; "€/10 MJNEL)"</f>
        <v>(--&gt;0,3317€/10 MJNEL)</v>
      </c>
      <c r="G57" s="478" t="s">
        <v>861</v>
      </c>
      <c r="H57" s="28"/>
      <c r="I57" s="1382" t="s">
        <v>136</v>
      </c>
      <c r="J57" s="1425">
        <f>J49*J56/100</f>
        <v>248.72649999999999</v>
      </c>
      <c r="K57" s="2269">
        <f>J57*$R$57</f>
        <v>82.502580049999992</v>
      </c>
      <c r="L57" s="865">
        <f>L49*L56/100</f>
        <v>275.78649999999999</v>
      </c>
      <c r="M57" s="2268">
        <f>L57*$R$57</f>
        <v>91.478382049999993</v>
      </c>
      <c r="N57" s="479">
        <f>N49*N56/100</f>
        <v>302.84650000000005</v>
      </c>
      <c r="O57" s="2272">
        <f>N57*$R$57</f>
        <v>100.45418405000001</v>
      </c>
      <c r="P57" s="2503"/>
      <c r="Q57"/>
      <c r="R57" s="2523">
        <f>VLOOKUP($R$56,Preise!$C$62:$N$69,12,FALSE)</f>
        <v>0.33169999999999999</v>
      </c>
      <c r="S57" s="2524" t="s">
        <v>517</v>
      </c>
      <c r="T57" t="s">
        <v>1115</v>
      </c>
      <c r="U57"/>
      <c r="V57"/>
      <c r="W57"/>
      <c r="AB57" s="2523">
        <f>SUM(AB50:AB56)</f>
        <v>100</v>
      </c>
      <c r="AC57" s="2523">
        <f>SUM(AC50:AC56)</f>
        <v>0</v>
      </c>
      <c r="AD57" s="2523">
        <f>SUM(AD50:AD56)</f>
        <v>100</v>
      </c>
      <c r="AE57" s="2523">
        <f>SUM(AE50:AE56)</f>
        <v>0</v>
      </c>
      <c r="AF57" s="2523">
        <f>SUM(AF50:AF56)</f>
        <v>100</v>
      </c>
      <c r="AI57" s="2523">
        <f t="shared" si="1"/>
        <v>0</v>
      </c>
      <c r="AK57" s="2523">
        <f t="shared" si="2"/>
        <v>0</v>
      </c>
      <c r="AM57" s="2523">
        <f t="shared" si="3"/>
        <v>0</v>
      </c>
      <c r="AO57" s="2523">
        <f t="shared" si="4"/>
        <v>0</v>
      </c>
      <c r="AQ57" s="2523">
        <f t="shared" si="5"/>
        <v>0</v>
      </c>
      <c r="AS57" s="2523">
        <f t="shared" si="6"/>
        <v>0</v>
      </c>
      <c r="AX57" s="2523">
        <f>VLOOKUP(R56,Preise!$C$62:$U$69,Preise!$T$60,FALSE)</f>
        <v>4457</v>
      </c>
      <c r="AY57" s="2523">
        <f>VLOOKUP($R56,Preise!$C$62:$U$69,Preise!$U$60,FALSE)</f>
        <v>16.2</v>
      </c>
      <c r="AZ57" s="2524">
        <f>$J56/100*AY57</f>
        <v>1.62</v>
      </c>
      <c r="BA57" s="2524">
        <f>$L56/100*AY57</f>
        <v>1.62</v>
      </c>
      <c r="BB57" s="2991">
        <f>$N56/100*AY57</f>
        <v>1.62</v>
      </c>
      <c r="BC57" s="2993">
        <f>J57/$AX57</f>
        <v>5.5805811083688574E-2</v>
      </c>
      <c r="BD57" s="2993">
        <f>L57/$AX57</f>
        <v>6.1877159524343729E-2</v>
      </c>
      <c r="BE57" s="2993">
        <f>N57/$AX57</f>
        <v>6.7948507964998892E-2</v>
      </c>
      <c r="BF57" s="2992">
        <f>$AY57*BC57</f>
        <v>0.90405413955575487</v>
      </c>
      <c r="BG57" s="2524">
        <f>$AY57*BD57</f>
        <v>1.0024099842943683</v>
      </c>
      <c r="BH57" s="2524">
        <f>$AY57*BE57</f>
        <v>1.100765829032982</v>
      </c>
    </row>
    <row r="58" spans="1:60" s="241" customFormat="1" ht="16.5" customHeight="1" x14ac:dyDescent="0.2">
      <c r="A58" s="2503"/>
      <c r="B58" s="226"/>
      <c r="C58" s="1377"/>
      <c r="D58" s="2529" t="str">
        <f>"(--&gt;" &amp;R58&amp; "€/10 MJNEL)"</f>
        <v>(--&gt;0,1391€/10 MJNEL)</v>
      </c>
      <c r="E58" s="2529"/>
      <c r="F58" s="135"/>
      <c r="G58" s="2656" t="s">
        <v>474</v>
      </c>
      <c r="H58" s="16"/>
      <c r="I58" s="2657"/>
      <c r="J58" s="1426"/>
      <c r="K58" s="2269">
        <f>$J57*$R58</f>
        <v>34.597856149999998</v>
      </c>
      <c r="L58" s="865"/>
      <c r="M58" s="2268">
        <f>$L57*$R58</f>
        <v>38.361902149999999</v>
      </c>
      <c r="N58" s="479"/>
      <c r="O58" s="2267">
        <f>$N57*$R58</f>
        <v>42.125948150000006</v>
      </c>
      <c r="P58" s="2503"/>
      <c r="Q58"/>
      <c r="R58" s="2523">
        <f>VLOOKUP($R$56,Preise!$C$74:$N$81,12,FALSE)</f>
        <v>0.1391</v>
      </c>
      <c r="S58" s="2524" t="s">
        <v>517</v>
      </c>
      <c r="T58" t="s">
        <v>474</v>
      </c>
      <c r="U58"/>
      <c r="V58"/>
      <c r="W58"/>
      <c r="AB58" s="2523"/>
      <c r="AC58" s="2523"/>
      <c r="AD58" s="2523"/>
      <c r="AE58" s="2523"/>
      <c r="AF58" s="2523"/>
      <c r="AI58" s="2523"/>
      <c r="AK58" s="2523"/>
      <c r="AM58" s="2523"/>
      <c r="AO58" s="2523"/>
      <c r="AQ58" s="2523"/>
      <c r="AS58" s="2523"/>
      <c r="AX58" s="2523"/>
      <c r="AY58" s="2523"/>
      <c r="BC58" s="117"/>
      <c r="BD58" s="119"/>
      <c r="BE58" s="2994"/>
    </row>
    <row r="59" spans="1:60" s="241" customFormat="1" ht="17.100000000000001" customHeight="1" x14ac:dyDescent="0.2">
      <c r="A59" s="2503"/>
      <c r="B59" s="226"/>
      <c r="C59" s="1380"/>
      <c r="D59" s="73" t="s">
        <v>514</v>
      </c>
      <c r="E59" s="71"/>
      <c r="F59" s="111" t="str">
        <f>"(ohne Fu-bau, bei "&amp;Stammdaten!$P$39&amp;" €/AKh)"</f>
        <v>(ohne Fu-bau, bei 17,5 €/AKh)</v>
      </c>
      <c r="G59" s="111"/>
      <c r="H59" s="111"/>
      <c r="I59" s="1386" t="s">
        <v>1141</v>
      </c>
      <c r="J59" s="1427"/>
      <c r="K59" s="140">
        <f>J60*Stammdaten!$P$39</f>
        <v>787.5</v>
      </c>
      <c r="L59" s="2536"/>
      <c r="M59" s="839">
        <f>L60*Stammdaten!$P$39</f>
        <v>822.5</v>
      </c>
      <c r="N59" s="2537"/>
      <c r="O59" s="2036">
        <f>N60*Stammdaten!$P$39</f>
        <v>857.5</v>
      </c>
      <c r="P59" s="2503"/>
      <c r="Q59"/>
      <c r="R59"/>
      <c r="S59"/>
      <c r="T59"/>
      <c r="U59"/>
      <c r="V59"/>
      <c r="W59"/>
      <c r="X59"/>
      <c r="Y59"/>
      <c r="Z59"/>
      <c r="AH59" s="241" t="s">
        <v>582</v>
      </c>
      <c r="AI59" s="2523">
        <f>AI50+AI53+AI56</f>
        <v>10</v>
      </c>
      <c r="AK59" s="2523">
        <f>AK50+AK53+AK56</f>
        <v>10</v>
      </c>
      <c r="AM59" s="2523">
        <f>AM50+AM53+AM56</f>
        <v>10</v>
      </c>
      <c r="AN59" s="109" t="s">
        <v>582</v>
      </c>
      <c r="AO59" s="2523">
        <f>AO50+AO53+AO56</f>
        <v>10</v>
      </c>
      <c r="AQ59" s="2523">
        <f>AQ50+AQ53+AQ56</f>
        <v>10</v>
      </c>
      <c r="AS59" s="2523">
        <f>AS50+AS53+AS56</f>
        <v>10</v>
      </c>
      <c r="AX59" s="2523"/>
      <c r="AY59" s="2523"/>
      <c r="BC59" s="117"/>
      <c r="BD59" s="119"/>
      <c r="BE59" s="2994"/>
    </row>
    <row r="60" spans="1:60" s="241" customFormat="1" ht="17.100000000000001" customHeight="1" x14ac:dyDescent="0.2">
      <c r="A60" s="2503"/>
      <c r="B60" s="226"/>
      <c r="C60" s="1383"/>
      <c r="D60" s="138"/>
      <c r="E60" s="82" t="s">
        <v>48</v>
      </c>
      <c r="F60" s="79"/>
      <c r="G60" s="127"/>
      <c r="H60" s="127"/>
      <c r="I60" s="1385" t="s">
        <v>49</v>
      </c>
      <c r="J60" s="1428">
        <v>45</v>
      </c>
      <c r="K60" s="154"/>
      <c r="L60" s="165">
        <v>47</v>
      </c>
      <c r="M60" s="866"/>
      <c r="N60" s="165">
        <v>49</v>
      </c>
      <c r="O60" s="2047"/>
      <c r="P60" s="2503"/>
      <c r="Q60"/>
      <c r="R60"/>
      <c r="S60"/>
      <c r="T60"/>
      <c r="U60"/>
      <c r="V60"/>
      <c r="W60"/>
      <c r="X60"/>
      <c r="Y60"/>
      <c r="Z60"/>
      <c r="AB60" s="105" t="s">
        <v>110</v>
      </c>
      <c r="AX60" s="241" t="s">
        <v>180</v>
      </c>
      <c r="AZ60" s="2524">
        <f t="shared" ref="AZ60:BH60" si="7">AZ51+AZ54+AZ57</f>
        <v>14.060000000000002</v>
      </c>
      <c r="BA60" s="2524">
        <f t="shared" si="7"/>
        <v>14.290000000000003</v>
      </c>
      <c r="BB60" s="2991">
        <f t="shared" si="7"/>
        <v>14.52</v>
      </c>
      <c r="BC60" s="2993">
        <f t="shared" si="7"/>
        <v>0.49259815284281966</v>
      </c>
      <c r="BD60" s="2993">
        <f t="shared" si="7"/>
        <v>0.51654686917975301</v>
      </c>
      <c r="BE60" s="2993">
        <f t="shared" si="7"/>
        <v>0.5346784595388766</v>
      </c>
      <c r="BF60" s="2992">
        <f t="shared" si="7"/>
        <v>6.8048517403420972</v>
      </c>
      <c r="BG60" s="2524">
        <f t="shared" si="7"/>
        <v>7.2516399185268039</v>
      </c>
      <c r="BH60" s="2524">
        <f t="shared" si="7"/>
        <v>7.6408241313180891</v>
      </c>
    </row>
    <row r="61" spans="1:60" s="241" customFormat="1" ht="17.100000000000001" customHeight="1" x14ac:dyDescent="0.2">
      <c r="A61" s="2503"/>
      <c r="B61" s="226"/>
      <c r="C61" s="1377"/>
      <c r="D61" s="2691" t="s">
        <v>592</v>
      </c>
      <c r="F61" s="2691"/>
      <c r="G61" s="2692"/>
      <c r="H61" s="2692"/>
      <c r="I61" s="2693" t="s">
        <v>865</v>
      </c>
      <c r="J61" s="2658">
        <f>BF60</f>
        <v>6.8048517403420972</v>
      </c>
      <c r="K61" s="2694">
        <f>J61*Stammdaten!$P$39</f>
        <v>119.0849054559867</v>
      </c>
      <c r="L61" s="2660">
        <f>BG60</f>
        <v>7.2516399185268039</v>
      </c>
      <c r="M61" s="2695">
        <f>L61*Stammdaten!$P$39</f>
        <v>126.90369857421906</v>
      </c>
      <c r="N61" s="2659">
        <f>BH60</f>
        <v>7.6408241313180891</v>
      </c>
      <c r="O61" s="2696">
        <f>N61*Stammdaten!$P$39</f>
        <v>133.71442229806655</v>
      </c>
      <c r="P61" s="2503"/>
      <c r="Q61"/>
      <c r="R61"/>
      <c r="S61"/>
      <c r="T61"/>
      <c r="U61"/>
      <c r="V61"/>
      <c r="W61"/>
      <c r="X61"/>
      <c r="Y61"/>
      <c r="Z61"/>
      <c r="AB61" s="105"/>
    </row>
    <row r="62" spans="1:60" ht="21.2" customHeight="1" x14ac:dyDescent="0.2">
      <c r="A62" s="2503"/>
      <c r="C62" s="1370"/>
      <c r="D62" s="115" t="s">
        <v>50</v>
      </c>
      <c r="E62" s="113"/>
      <c r="F62" s="121"/>
      <c r="G62" s="121"/>
      <c r="H62" s="121"/>
      <c r="I62" s="1384" t="s">
        <v>51</v>
      </c>
      <c r="J62" s="1429"/>
      <c r="K62" s="136">
        <f>M62</f>
        <v>483.69533333333328</v>
      </c>
      <c r="L62" s="957"/>
      <c r="M62" s="853">
        <f>Stammdaten!S52</f>
        <v>483.69533333333328</v>
      </c>
      <c r="N62" s="223"/>
      <c r="O62" s="1413">
        <f>M62</f>
        <v>483.69533333333328</v>
      </c>
      <c r="P62" s="2503"/>
      <c r="Q62"/>
      <c r="R62"/>
      <c r="S62"/>
      <c r="T62"/>
      <c r="U62"/>
      <c r="V62"/>
      <c r="W62"/>
      <c r="X62"/>
      <c r="Y62"/>
      <c r="Z62"/>
      <c r="AM62"/>
      <c r="AN62"/>
      <c r="AO62"/>
    </row>
    <row r="63" spans="1:60" ht="21.2" customHeight="1" x14ac:dyDescent="0.2">
      <c r="A63" s="2503"/>
      <c r="C63" s="1371"/>
      <c r="D63" s="123" t="s">
        <v>52</v>
      </c>
      <c r="E63" s="130"/>
      <c r="I63" s="1386" t="s">
        <v>51</v>
      </c>
      <c r="J63" s="1371"/>
      <c r="K63" s="156">
        <f>M63</f>
        <v>268.0435333333333</v>
      </c>
      <c r="L63" s="958"/>
      <c r="M63" s="854">
        <f>Stammdaten!V52</f>
        <v>268.0435333333333</v>
      </c>
      <c r="N63" s="959"/>
      <c r="O63" s="1414">
        <f>M63</f>
        <v>268.0435333333333</v>
      </c>
      <c r="P63" s="2503"/>
      <c r="Q63"/>
      <c r="R63"/>
      <c r="S63"/>
      <c r="T63"/>
      <c r="U63"/>
      <c r="V63"/>
      <c r="W63"/>
      <c r="X63"/>
      <c r="Y63"/>
      <c r="Z63"/>
      <c r="AB63"/>
      <c r="AC63"/>
      <c r="AD63"/>
      <c r="AG63"/>
      <c r="AH63"/>
      <c r="AM63"/>
      <c r="AN63"/>
      <c r="AO63"/>
    </row>
    <row r="64" spans="1:60" ht="21.2" customHeight="1" thickBot="1" x14ac:dyDescent="0.25">
      <c r="A64" s="2503"/>
      <c r="C64" s="1388"/>
      <c r="D64" s="3066" t="s">
        <v>53</v>
      </c>
      <c r="E64" s="1389"/>
      <c r="F64" s="1390"/>
      <c r="G64" s="1390"/>
      <c r="H64" s="1390"/>
      <c r="I64" s="3067" t="s">
        <v>51</v>
      </c>
      <c r="J64" s="1388"/>
      <c r="K64" s="3068">
        <f>M64</f>
        <v>93.12939999999999</v>
      </c>
      <c r="L64" s="3069"/>
      <c r="M64" s="3070">
        <f>Stammdaten!X52</f>
        <v>93.12939999999999</v>
      </c>
      <c r="N64" s="3071"/>
      <c r="O64" s="3072">
        <f>M64</f>
        <v>93.12939999999999</v>
      </c>
      <c r="P64" s="2503"/>
      <c r="Q64" s="152"/>
      <c r="R64" s="533"/>
      <c r="S64"/>
      <c r="T64"/>
      <c r="U64"/>
      <c r="V64"/>
      <c r="W64"/>
      <c r="X64"/>
      <c r="Y64"/>
      <c r="Z64"/>
      <c r="AB64"/>
      <c r="AC64"/>
      <c r="AD64"/>
      <c r="AG64"/>
      <c r="AH64"/>
      <c r="AM64"/>
      <c r="AN64"/>
      <c r="AO64"/>
    </row>
    <row r="65" spans="1:38" ht="21.2" hidden="1" customHeight="1" x14ac:dyDescent="0.2">
      <c r="A65" s="2503"/>
      <c r="C65" s="1371"/>
      <c r="D65" s="123" t="s">
        <v>54</v>
      </c>
      <c r="I65" s="1386" t="s">
        <v>1141</v>
      </c>
      <c r="J65" s="3064"/>
      <c r="K65" s="156">
        <f>IF(Stammdaten!P54=0,0,K67/Stammdaten!$P$55+K67*Stammdaten!$P$33/100/2)</f>
        <v>0</v>
      </c>
      <c r="L65" s="3065"/>
      <c r="M65" s="854">
        <f>IF(Stammdaten!P54=0,0,M67/Stammdaten!$P$55+M67*Stammdaten!$P$33/100/2)</f>
        <v>0</v>
      </c>
      <c r="N65" s="22"/>
      <c r="O65" s="1414">
        <f>IF(Stammdaten!P54=0,0,O67/Stammdaten!$P$55+O67*Stammdaten!$P$33/100/2)</f>
        <v>0</v>
      </c>
      <c r="P65" s="2503"/>
      <c r="Q65"/>
      <c r="R65"/>
      <c r="S65" s="246"/>
      <c r="T65" s="246"/>
      <c r="U65" s="108"/>
      <c r="V65" s="108"/>
      <c r="AB65"/>
      <c r="AC65"/>
      <c r="AD65"/>
    </row>
    <row r="66" spans="1:38" ht="17.100000000000001" hidden="1" customHeight="1" x14ac:dyDescent="0.2">
      <c r="A66" s="2503"/>
      <c r="C66" s="1371"/>
      <c r="D66" s="123"/>
      <c r="E66" s="22" t="s">
        <v>55</v>
      </c>
      <c r="I66" s="1368" t="s">
        <v>1143</v>
      </c>
      <c r="J66" s="1430">
        <f>L66</f>
        <v>0</v>
      </c>
      <c r="K66" s="403">
        <f>M66</f>
        <v>0</v>
      </c>
      <c r="L66" s="867">
        <f>M66</f>
        <v>0</v>
      </c>
      <c r="M66" s="868">
        <f>Stammdaten!P54</f>
        <v>0</v>
      </c>
      <c r="N66" s="402">
        <f>L66</f>
        <v>0</v>
      </c>
      <c r="O66" s="2048">
        <f>M66</f>
        <v>0</v>
      </c>
      <c r="P66" s="2503"/>
      <c r="Q66"/>
      <c r="R66"/>
      <c r="S66" s="242"/>
      <c r="T66" s="242"/>
      <c r="U66" s="108"/>
      <c r="V66" s="108"/>
      <c r="AC66"/>
      <c r="AD66"/>
      <c r="AL66"/>
    </row>
    <row r="67" spans="1:38" ht="17.100000000000001" hidden="1" customHeight="1" x14ac:dyDescent="0.2">
      <c r="A67" s="2503"/>
      <c r="C67" s="1371"/>
      <c r="D67" s="130"/>
      <c r="E67" s="22" t="str">
        <f>"(bei AFA von "&amp;Stammdaten!P55&amp;" Jahren und "&amp;Stammdaten!P33&amp;" % Zinsansatz)"</f>
        <v>(bei AFA von 0 Jahren und 0 % Zinsansatz)</v>
      </c>
      <c r="F67" s="130"/>
      <c r="G67" s="130"/>
      <c r="H67" s="157"/>
      <c r="I67" s="1368" t="s">
        <v>56</v>
      </c>
      <c r="J67" s="1406"/>
      <c r="K67" s="397">
        <f>K66*J7</f>
        <v>0</v>
      </c>
      <c r="L67" s="851"/>
      <c r="M67" s="869">
        <f>M66*L7</f>
        <v>0</v>
      </c>
      <c r="N67" s="37"/>
      <c r="O67" s="2049">
        <f>O66*N7</f>
        <v>0</v>
      </c>
      <c r="P67" s="2503"/>
      <c r="Q67"/>
      <c r="R67"/>
      <c r="U67" s="108"/>
      <c r="V67" s="108"/>
      <c r="AL67"/>
    </row>
    <row r="68" spans="1:38" ht="2.1" hidden="1" customHeight="1" thickBot="1" x14ac:dyDescent="0.25">
      <c r="A68" s="2503"/>
      <c r="C68" s="1388"/>
      <c r="D68" s="1389"/>
      <c r="E68" s="1754"/>
      <c r="F68" s="1390"/>
      <c r="G68" s="1390"/>
      <c r="H68" s="1390"/>
      <c r="I68" s="1391"/>
      <c r="J68" s="2030"/>
      <c r="K68" s="2028"/>
      <c r="L68" s="2026"/>
      <c r="M68" s="2029"/>
      <c r="N68" s="2027"/>
      <c r="O68" s="2050"/>
      <c r="P68" s="2503"/>
    </row>
    <row r="69" spans="1:38" ht="17.100000000000001" customHeight="1" x14ac:dyDescent="0.2">
      <c r="A69" s="2503"/>
      <c r="E69" s="124"/>
      <c r="P69" s="2503"/>
    </row>
    <row r="70" spans="1:38" x14ac:dyDescent="0.2">
      <c r="A70" s="2503"/>
      <c r="P70" s="2503"/>
    </row>
    <row r="71" spans="1:38" x14ac:dyDescent="0.2">
      <c r="A71" s="2503"/>
      <c r="P71" s="2503"/>
    </row>
    <row r="72" spans="1:38" x14ac:dyDescent="0.2">
      <c r="A72" s="2503"/>
      <c r="P72" s="2503"/>
    </row>
    <row r="73" spans="1:38" x14ac:dyDescent="0.2">
      <c r="A73" s="2503"/>
      <c r="P73" s="2503"/>
    </row>
    <row r="74" spans="1:38" x14ac:dyDescent="0.2">
      <c r="A74" s="2503"/>
      <c r="P74" s="2503"/>
    </row>
    <row r="75" spans="1:38" x14ac:dyDescent="0.2">
      <c r="A75" s="2503"/>
      <c r="C75" s="139"/>
      <c r="D75" s="121" t="s">
        <v>64</v>
      </c>
      <c r="E75" s="121"/>
      <c r="F75" s="121"/>
      <c r="G75" s="121"/>
      <c r="H75" s="121"/>
      <c r="I75" s="2204" t="s">
        <v>1108</v>
      </c>
      <c r="J75" s="2200">
        <f>J30</f>
        <v>15</v>
      </c>
      <c r="K75" s="336"/>
      <c r="L75" s="2200">
        <f>L30</f>
        <v>14.25</v>
      </c>
      <c r="M75" s="336"/>
      <c r="N75" s="2200">
        <f>N30</f>
        <v>13.5</v>
      </c>
      <c r="O75" s="2196"/>
      <c r="P75" s="2503"/>
    </row>
    <row r="76" spans="1:38" x14ac:dyDescent="0.2">
      <c r="A76" s="2503"/>
      <c r="C76" s="131"/>
      <c r="D76" s="3045" t="s">
        <v>1529</v>
      </c>
      <c r="J76" s="2201">
        <f>J31</f>
        <v>5</v>
      </c>
      <c r="K76" s="300"/>
      <c r="L76" s="2201">
        <f>L31</f>
        <v>7</v>
      </c>
      <c r="M76" s="300"/>
      <c r="N76" s="2201">
        <f>N31</f>
        <v>9</v>
      </c>
      <c r="O76" s="699"/>
      <c r="P76" s="2503"/>
    </row>
    <row r="77" spans="1:38" x14ac:dyDescent="0.2">
      <c r="A77" s="2503"/>
      <c r="C77" s="131"/>
      <c r="D77" s="3045" t="s">
        <v>1530</v>
      </c>
      <c r="J77" s="2201">
        <f>J32</f>
        <v>0.2</v>
      </c>
      <c r="K77" s="300"/>
      <c r="L77" s="2201">
        <f>L32</f>
        <v>0.3</v>
      </c>
      <c r="M77" s="300"/>
      <c r="N77" s="2201">
        <f>N32</f>
        <v>0.4</v>
      </c>
      <c r="O77" s="699"/>
      <c r="P77" s="2503"/>
    </row>
    <row r="78" spans="1:38" x14ac:dyDescent="0.2">
      <c r="A78" s="2503"/>
      <c r="C78" s="131"/>
      <c r="D78" s="3045" t="s">
        <v>428</v>
      </c>
      <c r="J78" s="2201">
        <f>J34</f>
        <v>0.05</v>
      </c>
      <c r="K78" s="300"/>
      <c r="L78" s="2201">
        <f>L34</f>
        <v>0.05</v>
      </c>
      <c r="M78" s="300"/>
      <c r="N78" s="2201">
        <f>N34</f>
        <v>0.05</v>
      </c>
      <c r="O78" s="699"/>
      <c r="P78" s="2503"/>
    </row>
    <row r="79" spans="1:38" x14ac:dyDescent="0.2">
      <c r="A79" s="2503"/>
      <c r="C79" s="2567"/>
      <c r="D79" s="155" t="s">
        <v>464</v>
      </c>
      <c r="E79" s="155"/>
      <c r="F79" s="155"/>
      <c r="G79" s="155"/>
      <c r="H79" s="155"/>
      <c r="I79" s="2568"/>
      <c r="J79" s="2569">
        <f>SUM(J75:J78)</f>
        <v>20.25</v>
      </c>
      <c r="K79" s="2260"/>
      <c r="L79" s="2569">
        <f>SUM(L75:L78)</f>
        <v>21.6</v>
      </c>
      <c r="M79" s="2260"/>
      <c r="N79" s="2569">
        <f>SUM(N75:N78)</f>
        <v>22.95</v>
      </c>
      <c r="O79" s="2260"/>
      <c r="P79" s="2503"/>
    </row>
    <row r="80" spans="1:38" x14ac:dyDescent="0.2">
      <c r="A80" s="2503"/>
      <c r="C80" s="131"/>
      <c r="D80" s="111" t="s">
        <v>465</v>
      </c>
      <c r="G80" s="2195">
        <v>0.88</v>
      </c>
      <c r="J80" s="131">
        <f>J79*$G$80</f>
        <v>17.82</v>
      </c>
      <c r="K80" s="2197"/>
      <c r="L80" s="131">
        <f>L79*$G$80</f>
        <v>19.008000000000003</v>
      </c>
      <c r="M80" s="2197"/>
      <c r="N80" s="131">
        <f>N79*$G$80</f>
        <v>20.195999999999998</v>
      </c>
      <c r="O80" s="699"/>
      <c r="P80" s="2503"/>
    </row>
    <row r="81" spans="1:18" x14ac:dyDescent="0.2">
      <c r="A81" s="2503"/>
      <c r="C81" s="131"/>
      <c r="G81" s="28"/>
      <c r="I81" s="152" t="s">
        <v>736</v>
      </c>
      <c r="J81" s="2202">
        <f>J80*100</f>
        <v>1782</v>
      </c>
      <c r="K81" s="2198" t="s">
        <v>857</v>
      </c>
      <c r="L81" s="2202">
        <f>L80*100</f>
        <v>1900.8000000000002</v>
      </c>
      <c r="M81" s="2198" t="s">
        <v>857</v>
      </c>
      <c r="N81" s="2202">
        <f>N80*100</f>
        <v>2019.6</v>
      </c>
      <c r="O81" s="2198" t="s">
        <v>857</v>
      </c>
      <c r="P81" s="2503"/>
    </row>
    <row r="82" spans="1:18" x14ac:dyDescent="0.2">
      <c r="A82" s="2503"/>
      <c r="C82" s="139"/>
      <c r="D82" s="121"/>
      <c r="E82" s="121"/>
      <c r="F82" s="121"/>
      <c r="G82" s="259"/>
      <c r="H82" s="121"/>
      <c r="I82" s="2210"/>
      <c r="J82" s="139"/>
      <c r="K82" s="2196"/>
      <c r="L82" s="139"/>
      <c r="M82" s="2196"/>
      <c r="O82" s="699"/>
      <c r="P82" s="2503"/>
    </row>
    <row r="83" spans="1:18" x14ac:dyDescent="0.2">
      <c r="A83" s="2503"/>
      <c r="C83" s="131"/>
      <c r="J83" s="131"/>
      <c r="K83" s="132"/>
      <c r="L83" s="131"/>
      <c r="M83" s="132"/>
      <c r="O83" s="132"/>
      <c r="P83" s="2503"/>
    </row>
    <row r="84" spans="1:18" x14ac:dyDescent="0.2">
      <c r="A84" s="2503"/>
      <c r="C84" s="139"/>
      <c r="D84" s="121" t="s">
        <v>1097</v>
      </c>
      <c r="E84" s="121"/>
      <c r="F84" s="121"/>
      <c r="G84" s="121"/>
      <c r="H84" s="121"/>
      <c r="I84" s="2204" t="s">
        <v>1098</v>
      </c>
      <c r="J84" s="2211">
        <f>J49</f>
        <v>2487.2649999999999</v>
      </c>
      <c r="K84" s="2587"/>
      <c r="L84" s="2211">
        <f>L49</f>
        <v>2757.8649999999998</v>
      </c>
      <c r="M84" s="2587"/>
      <c r="N84" s="2212">
        <f>N49</f>
        <v>3028.4650000000006</v>
      </c>
      <c r="O84" s="2587"/>
      <c r="P84" s="2503"/>
    </row>
    <row r="85" spans="1:18" x14ac:dyDescent="0.2">
      <c r="A85" s="2503"/>
      <c r="C85" s="142"/>
      <c r="D85" s="127"/>
      <c r="E85" s="127"/>
      <c r="F85" s="2588" t="s">
        <v>466</v>
      </c>
      <c r="G85" s="2589">
        <v>6</v>
      </c>
      <c r="H85" s="2590" t="s">
        <v>872</v>
      </c>
      <c r="I85" s="2593" t="s">
        <v>736</v>
      </c>
      <c r="J85" s="2594">
        <f>J84/$G$85*10</f>
        <v>4145.4416666666666</v>
      </c>
      <c r="K85" s="2595" t="s">
        <v>857</v>
      </c>
      <c r="L85" s="2594">
        <f>L84/$G$85*10</f>
        <v>4596.4416666666666</v>
      </c>
      <c r="M85" s="2595" t="s">
        <v>857</v>
      </c>
      <c r="N85" s="2596">
        <f>N84/$G$85*10</f>
        <v>5047.4416666666675</v>
      </c>
      <c r="O85" s="2595" t="s">
        <v>857</v>
      </c>
      <c r="P85" s="2503"/>
    </row>
    <row r="86" spans="1:18" x14ac:dyDescent="0.2">
      <c r="A86" s="2503"/>
      <c r="C86" s="131"/>
      <c r="D86" s="105" t="s">
        <v>121</v>
      </c>
      <c r="I86" s="152" t="s">
        <v>961</v>
      </c>
      <c r="J86" s="2554">
        <f>AO59</f>
        <v>10</v>
      </c>
      <c r="K86" s="2565"/>
      <c r="L86" s="2554">
        <f>AQ59</f>
        <v>10</v>
      </c>
      <c r="M86" s="2565"/>
      <c r="N86" s="2566">
        <f>AS59</f>
        <v>10</v>
      </c>
      <c r="O86" s="132"/>
      <c r="P86" s="2503"/>
    </row>
    <row r="87" spans="1:18" x14ac:dyDescent="0.2">
      <c r="A87" s="2503"/>
      <c r="C87" s="131"/>
      <c r="D87" s="105"/>
      <c r="E87" s="2579" t="s">
        <v>122</v>
      </c>
      <c r="F87" s="2579"/>
      <c r="G87" s="2579"/>
      <c r="H87" s="2579"/>
      <c r="I87" s="2580" t="s">
        <v>736</v>
      </c>
      <c r="J87" s="2581">
        <f>J85-(J85*J86)/100</f>
        <v>3730.8975</v>
      </c>
      <c r="K87" s="2582" t="s">
        <v>857</v>
      </c>
      <c r="L87" s="2581">
        <f>L85-(L85*L86)/100</f>
        <v>4136.7974999999997</v>
      </c>
      <c r="M87" s="2582" t="s">
        <v>857</v>
      </c>
      <c r="N87" s="2581">
        <f>N85-(N85*N86)/100</f>
        <v>4542.6975000000011</v>
      </c>
      <c r="O87" s="2582" t="s">
        <v>857</v>
      </c>
      <c r="P87" s="2503"/>
    </row>
    <row r="88" spans="1:18" x14ac:dyDescent="0.2">
      <c r="A88" s="2503"/>
      <c r="C88" s="139"/>
      <c r="D88" s="121" t="s">
        <v>757</v>
      </c>
      <c r="E88" s="121"/>
      <c r="F88" s="121"/>
      <c r="G88" s="121"/>
      <c r="H88" s="121"/>
      <c r="I88" s="2204" t="s">
        <v>736</v>
      </c>
      <c r="J88" s="2211">
        <f>J85+J81</f>
        <v>5927.4416666666666</v>
      </c>
      <c r="K88" s="2196" t="s">
        <v>857</v>
      </c>
      <c r="L88" s="2211">
        <f>L85+L81</f>
        <v>6497.2416666666668</v>
      </c>
      <c r="M88" s="2196" t="s">
        <v>857</v>
      </c>
      <c r="N88" s="2212">
        <f>N85+N81</f>
        <v>7067.0416666666679</v>
      </c>
      <c r="O88" s="2196" t="s">
        <v>857</v>
      </c>
      <c r="P88" s="2503"/>
    </row>
    <row r="89" spans="1:18" x14ac:dyDescent="0.2">
      <c r="A89" s="2503"/>
      <c r="C89" s="2217"/>
      <c r="D89" s="2215"/>
      <c r="E89" s="2215"/>
      <c r="F89" s="2215"/>
      <c r="G89" s="2215"/>
      <c r="H89" s="2215"/>
      <c r="I89" s="2564" t="s">
        <v>737</v>
      </c>
      <c r="J89" s="2219">
        <f>J88/365</f>
        <v>16.239566210045663</v>
      </c>
      <c r="K89" s="2216" t="s">
        <v>857</v>
      </c>
      <c r="L89" s="2219">
        <f>L88/365</f>
        <v>17.80066210045662</v>
      </c>
      <c r="M89" s="2216" t="s">
        <v>857</v>
      </c>
      <c r="N89" s="2220">
        <f>N88/365</f>
        <v>19.361757990867584</v>
      </c>
      <c r="O89" s="2216" t="s">
        <v>857</v>
      </c>
      <c r="P89" s="2503"/>
    </row>
    <row r="90" spans="1:18" ht="15" x14ac:dyDescent="0.2">
      <c r="A90" s="2503"/>
      <c r="C90" s="142"/>
      <c r="D90" s="127" t="s">
        <v>292</v>
      </c>
      <c r="E90" s="127"/>
      <c r="F90" s="127"/>
      <c r="G90" s="127"/>
      <c r="H90" s="127"/>
      <c r="I90" s="2588"/>
      <c r="J90" s="2953">
        <v>3.7</v>
      </c>
      <c r="K90" s="2198"/>
      <c r="L90" s="2953">
        <v>3.7</v>
      </c>
      <c r="M90" s="2198"/>
      <c r="N90" s="2953">
        <v>3.7</v>
      </c>
      <c r="O90" s="2198"/>
      <c r="P90" s="2503"/>
      <c r="R90" t="s">
        <v>1520</v>
      </c>
    </row>
    <row r="91" spans="1:18" ht="33" customHeight="1" x14ac:dyDescent="0.2">
      <c r="A91" s="2503"/>
      <c r="C91" s="497"/>
      <c r="D91" s="499" t="s">
        <v>467</v>
      </c>
      <c r="E91" s="499"/>
      <c r="F91" s="499"/>
      <c r="G91" s="2224">
        <f>F38</f>
        <v>4</v>
      </c>
      <c r="H91" s="499" t="s">
        <v>468</v>
      </c>
      <c r="I91" s="2205" t="s">
        <v>469</v>
      </c>
      <c r="J91" s="2208">
        <f>J88*$G$91/1000+J90</f>
        <v>27.409766666666666</v>
      </c>
      <c r="K91" s="2207"/>
      <c r="L91" s="2208">
        <f>L88*$G$91/1000+L90</f>
        <v>29.688966666666666</v>
      </c>
      <c r="M91" s="2207"/>
      <c r="N91" s="2206">
        <f>N88*$G$91/1000+N90</f>
        <v>31.968166666666672</v>
      </c>
      <c r="O91" s="2207"/>
      <c r="P91" s="2503"/>
    </row>
    <row r="92" spans="1:18" x14ac:dyDescent="0.2">
      <c r="A92" s="2503"/>
      <c r="C92" s="497" t="s">
        <v>112</v>
      </c>
      <c r="D92" s="499"/>
      <c r="E92" s="499"/>
      <c r="F92" s="499"/>
      <c r="G92" s="499"/>
      <c r="H92" s="499"/>
      <c r="I92" s="2207" t="s">
        <v>469</v>
      </c>
      <c r="J92" s="2208">
        <f>J23*(100-J86)/100</f>
        <v>19.350000000000001</v>
      </c>
      <c r="K92" s="2207"/>
      <c r="L92" s="2208">
        <f>L23*(100-L86)/100</f>
        <v>19.8</v>
      </c>
      <c r="M92" s="2207"/>
      <c r="N92" s="2206">
        <f>N23*(100-N86)/100</f>
        <v>20.25</v>
      </c>
      <c r="O92" s="2207"/>
      <c r="P92" s="2503"/>
    </row>
    <row r="93" spans="1:18" x14ac:dyDescent="0.2">
      <c r="A93" s="2503"/>
      <c r="C93" s="2561" t="s">
        <v>123</v>
      </c>
      <c r="D93" s="499"/>
      <c r="E93" s="499"/>
      <c r="F93" s="499"/>
      <c r="G93" s="499"/>
      <c r="H93" s="499"/>
      <c r="I93" s="2207" t="s">
        <v>736</v>
      </c>
      <c r="J93" s="2208">
        <f>J85*(100-AI59)/100</f>
        <v>3730.8975</v>
      </c>
      <c r="K93" s="2207"/>
      <c r="L93" s="2208">
        <f>L85*(100-AK59)/100</f>
        <v>4136.7974999999997</v>
      </c>
      <c r="M93" s="2207"/>
      <c r="N93" s="2206">
        <f>N85*(100-AM59)/100</f>
        <v>4542.6975000000002</v>
      </c>
      <c r="O93" s="2207"/>
      <c r="P93" s="2503"/>
    </row>
    <row r="94" spans="1:18" x14ac:dyDescent="0.2">
      <c r="A94" s="2503"/>
      <c r="C94" s="2599"/>
      <c r="D94" s="121" t="s">
        <v>317</v>
      </c>
      <c r="E94" s="2600" t="s">
        <v>300</v>
      </c>
      <c r="F94" s="2600"/>
      <c r="G94" s="2601">
        <v>35</v>
      </c>
      <c r="H94" s="2600" t="s">
        <v>301</v>
      </c>
      <c r="I94" s="2602" t="s">
        <v>299</v>
      </c>
      <c r="J94" s="2603">
        <f>J93/$G$94*100</f>
        <v>10659.707142857142</v>
      </c>
      <c r="K94" s="2604"/>
      <c r="L94" s="2603">
        <f>L93/$G$94*100</f>
        <v>11819.421428571428</v>
      </c>
      <c r="M94" s="2604"/>
      <c r="N94" s="2605">
        <f>N93/$G$94*100</f>
        <v>12979.135714285716</v>
      </c>
      <c r="O94" s="2604"/>
      <c r="P94" s="2503"/>
    </row>
    <row r="95" spans="1:18" x14ac:dyDescent="0.2">
      <c r="A95" s="2503"/>
      <c r="C95" s="2611"/>
      <c r="D95" s="2215" t="s">
        <v>317</v>
      </c>
      <c r="E95" s="2612" t="s">
        <v>300</v>
      </c>
      <c r="F95" s="2612"/>
      <c r="G95" s="2613">
        <v>500</v>
      </c>
      <c r="H95" s="2612" t="s">
        <v>302</v>
      </c>
      <c r="I95" s="2616" t="s">
        <v>1109</v>
      </c>
      <c r="J95" s="2617">
        <f>J94/$G$95</f>
        <v>21.319414285714284</v>
      </c>
      <c r="K95" s="2618"/>
      <c r="L95" s="2617">
        <f>L94/$G$95</f>
        <v>23.638842857142855</v>
      </c>
      <c r="M95" s="2618"/>
      <c r="N95" s="2617">
        <f>N94/$G$95</f>
        <v>25.958271428571432</v>
      </c>
      <c r="O95" s="2619"/>
      <c r="P95" s="2503"/>
    </row>
    <row r="96" spans="1:18" x14ac:dyDescent="0.2">
      <c r="A96" s="2503"/>
      <c r="C96" s="2562"/>
      <c r="I96" s="152"/>
      <c r="J96" s="533"/>
      <c r="L96" s="533"/>
      <c r="N96" s="533"/>
      <c r="P96" s="2503"/>
    </row>
    <row r="97" spans="1:16" x14ac:dyDescent="0.2">
      <c r="A97" s="2503"/>
      <c r="C97" s="2562" t="s">
        <v>113</v>
      </c>
      <c r="P97" s="2503"/>
    </row>
    <row r="98" spans="1:16" x14ac:dyDescent="0.2">
      <c r="A98" s="2503"/>
      <c r="C98" s="2562" t="s">
        <v>120</v>
      </c>
      <c r="P98" s="2503"/>
    </row>
    <row r="99" spans="1:16" x14ac:dyDescent="0.2">
      <c r="A99" s="2503"/>
      <c r="B99" s="2503"/>
      <c r="C99" s="2503"/>
      <c r="D99" s="2503"/>
      <c r="E99" s="2503"/>
      <c r="F99" s="2503"/>
      <c r="G99" s="2503"/>
      <c r="H99" s="2503"/>
      <c r="I99" s="2503"/>
      <c r="J99" s="2503"/>
      <c r="K99" s="2503"/>
      <c r="L99" s="2503"/>
      <c r="M99" s="2503"/>
      <c r="N99" s="2503"/>
      <c r="O99" s="2503"/>
      <c r="P99" s="2503"/>
    </row>
  </sheetData>
  <sheetProtection sheet="1" objects="1" scenarios="1"/>
  <mergeCells count="1">
    <mergeCell ref="W22:W23"/>
  </mergeCells>
  <phoneticPr fontId="0" type="noConversion"/>
  <printOptions horizontalCentered="1"/>
  <pageMargins left="0.39370078740157483" right="0.39370078740157483" top="0.59055118110236227" bottom="0.59055118110236227" header="0.19685039370078741" footer="0.19685039370078741"/>
  <pageSetup paperSize="9" scale="72" firstPageNumber="14" orientation="portrait" useFirstPageNumber="1" r:id="rId1"/>
  <headerFooter alignWithMargins="0">
    <oddFooter>&amp;LLEL Schwäb. Gmünd
&amp;D&amp;C&amp;"Arial,Fett"&amp;P&amp;RKalkulationsdaten Milchviehhaltung;
&amp;F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29" r:id="rId4" name="Drop Down 13">
              <controlPr defaultSize="0" print="0" autoLine="0" autoPict="0">
                <anchor moveWithCells="1">
                  <from>
                    <xdr:col>2</xdr:col>
                    <xdr:colOff>0</xdr:colOff>
                    <xdr:row>55</xdr:row>
                    <xdr:rowOff>9525</xdr:rowOff>
                  </from>
                  <to>
                    <xdr:col>5</xdr:col>
                    <xdr:colOff>200025</xdr:colOff>
                    <xdr:row>56</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9" tint="-0.249977111117893"/>
    <pageSetUpPr fitToPage="1"/>
  </sheetPr>
  <dimension ref="A1:AC248"/>
  <sheetViews>
    <sheetView showGridLines="0" showZeros="0" topLeftCell="C1" zoomScale="90" zoomScaleNormal="90" workbookViewId="0">
      <pane ySplit="9" topLeftCell="A28" activePane="bottomLeft" state="frozen"/>
      <selection activeCell="H69" sqref="H69"/>
      <selection pane="bottomLeft" activeCell="M36" sqref="M36"/>
    </sheetView>
  </sheetViews>
  <sheetFormatPr baseColWidth="10" defaultColWidth="11.5703125" defaultRowHeight="12.75" x14ac:dyDescent="0.2"/>
  <cols>
    <col min="1" max="1" width="1.7109375" style="4" customWidth="1"/>
    <col min="2" max="2" width="5" style="4" customWidth="1"/>
    <col min="3" max="3" width="3.85546875" style="3" customWidth="1"/>
    <col min="4" max="4" width="1.5703125" style="3" customWidth="1"/>
    <col min="5" max="5" width="5.85546875" style="3" customWidth="1"/>
    <col min="6" max="6" width="20.7109375" style="3" customWidth="1"/>
    <col min="7" max="7" width="15.7109375" style="3" customWidth="1"/>
    <col min="8" max="8" width="17.42578125" style="3" customWidth="1"/>
    <col min="9" max="9" width="12.28515625" style="84" customWidth="1"/>
    <col min="10" max="10" width="0.85546875" style="84" customWidth="1"/>
    <col min="11" max="11" width="10.140625" style="1192" customWidth="1"/>
    <col min="12" max="12" width="16.42578125" style="1192" customWidth="1"/>
    <col min="13" max="13" width="10" style="1192" customWidth="1"/>
    <col min="14" max="14" width="10.5703125" style="1192" customWidth="1"/>
    <col min="15" max="15" width="9.85546875" style="1192" customWidth="1"/>
    <col min="16" max="16" width="10.140625" style="1192" customWidth="1"/>
    <col min="17" max="17" width="2.5703125" style="4" customWidth="1"/>
    <col min="18" max="24" width="11.5703125" style="4" customWidth="1"/>
    <col min="25" max="25" width="14.28515625" style="4" customWidth="1"/>
    <col min="26" max="26" width="11.7109375" style="4" customWidth="1"/>
    <col min="27" max="27" width="9.28515625" style="4" customWidth="1"/>
    <col min="28" max="16384" width="11.5703125" style="4"/>
  </cols>
  <sheetData>
    <row r="1" spans="1:28" ht="22.15" customHeight="1" x14ac:dyDescent="0.2">
      <c r="A1" s="2503"/>
      <c r="B1" s="2503"/>
      <c r="C1" s="2503"/>
      <c r="D1" s="2503"/>
      <c r="E1" s="2503"/>
      <c r="F1" s="2503"/>
      <c r="G1" s="2503"/>
      <c r="H1" s="2503"/>
      <c r="I1" s="2503"/>
      <c r="J1" s="2503"/>
      <c r="K1" s="2503"/>
      <c r="L1" s="2503"/>
      <c r="M1" s="2503"/>
      <c r="N1" s="2503"/>
      <c r="O1" s="2503"/>
      <c r="P1" s="2503"/>
      <c r="Q1" s="2503"/>
    </row>
    <row r="2" spans="1:28" ht="19.5" customHeight="1" x14ac:dyDescent="0.2">
      <c r="A2" s="2503"/>
      <c r="C2" s="85" t="s">
        <v>57</v>
      </c>
      <c r="D2" s="4"/>
      <c r="E2" s="4"/>
      <c r="F2" s="4"/>
      <c r="G2"/>
      <c r="I2" s="292" t="s">
        <v>1130</v>
      </c>
      <c r="J2" s="4"/>
      <c r="K2" s="589"/>
      <c r="L2" s="589"/>
      <c r="P2" s="104" t="str">
        <f>'FlV(a)'!O2</f>
        <v>Milchkuh; Fleckvieh</v>
      </c>
      <c r="Q2" s="2503"/>
      <c r="U2" s="87"/>
      <c r="V2" s="87"/>
      <c r="W2" s="88"/>
      <c r="X2" s="3"/>
      <c r="Y2" s="3"/>
      <c r="Z2" s="89"/>
      <c r="AA2" s="89"/>
      <c r="AB2" s="89"/>
    </row>
    <row r="3" spans="1:28" ht="19.5" customHeight="1" x14ac:dyDescent="0.2">
      <c r="A3" s="2503"/>
      <c r="C3" s="85"/>
      <c r="D3" s="4"/>
      <c r="E3" s="4"/>
      <c r="F3" s="4"/>
      <c r="G3"/>
      <c r="H3"/>
      <c r="I3" s="292"/>
      <c r="J3" s="4"/>
      <c r="K3" s="589"/>
      <c r="L3" s="589"/>
      <c r="M3" s="1193"/>
      <c r="N3" s="1193"/>
      <c r="O3" s="1193"/>
      <c r="P3" s="1193"/>
      <c r="Q3" s="2503"/>
      <c r="U3" s="87"/>
      <c r="V3" s="87"/>
      <c r="W3" s="88"/>
      <c r="X3" s="3"/>
      <c r="Y3" s="3"/>
      <c r="Z3" s="89"/>
      <c r="AA3" s="89"/>
      <c r="AB3" s="89"/>
    </row>
    <row r="4" spans="1:28" ht="23.25" customHeight="1" x14ac:dyDescent="0.3">
      <c r="A4" s="2503"/>
      <c r="C4" s="296" t="s">
        <v>879</v>
      </c>
      <c r="D4" s="297"/>
      <c r="E4" s="296"/>
      <c r="F4" s="296">
        <f>'FlV(a)'!E4</f>
        <v>44531</v>
      </c>
      <c r="G4"/>
      <c r="I4" s="298" t="s">
        <v>1009</v>
      </c>
      <c r="J4" s="297"/>
      <c r="K4" s="589"/>
      <c r="L4" s="589"/>
      <c r="M4" s="589"/>
      <c r="P4" s="1755">
        <f>'FlV(a)'!O4</f>
        <v>2022</v>
      </c>
      <c r="Q4" s="2503"/>
      <c r="U4" s="87"/>
      <c r="V4" s="87"/>
      <c r="W4" s="88"/>
      <c r="X4" s="3"/>
      <c r="Y4" s="3"/>
      <c r="Z4" s="89"/>
      <c r="AA4" s="89"/>
      <c r="AB4" s="89"/>
    </row>
    <row r="5" spans="1:28" ht="10.5" customHeight="1" thickBot="1" x14ac:dyDescent="0.25">
      <c r="A5" s="2503"/>
      <c r="C5" s="4"/>
      <c r="D5" s="4"/>
      <c r="E5" s="17"/>
      <c r="F5" s="17"/>
      <c r="G5" s="90"/>
      <c r="H5" s="90"/>
      <c r="I5" s="4"/>
      <c r="J5" s="4"/>
      <c r="K5" s="1756"/>
      <c r="L5" s="1756"/>
      <c r="M5" s="1193"/>
      <c r="N5" s="1193"/>
      <c r="O5" s="1193"/>
      <c r="P5" s="1193"/>
      <c r="Q5" s="2503"/>
      <c r="U5" s="87"/>
      <c r="V5" s="87"/>
      <c r="W5" s="88"/>
      <c r="X5" s="3"/>
      <c r="Y5" s="3"/>
      <c r="Z5" s="89"/>
      <c r="AA5" s="89"/>
      <c r="AB5" s="89"/>
    </row>
    <row r="6" spans="1:28" s="1" customFormat="1" ht="24.6" customHeight="1" x14ac:dyDescent="0.2">
      <c r="A6" s="2503"/>
      <c r="C6" s="1728">
        <v>1</v>
      </c>
      <c r="D6" s="1431" t="s">
        <v>1073</v>
      </c>
      <c r="E6" s="1431"/>
      <c r="F6" s="1431"/>
      <c r="G6" s="1431"/>
      <c r="H6" s="1431"/>
      <c r="I6" s="1432"/>
      <c r="J6" s="1433"/>
      <c r="K6" s="3954" t="s">
        <v>1074</v>
      </c>
      <c r="L6" s="3955"/>
      <c r="M6" s="3958" t="s">
        <v>1075</v>
      </c>
      <c r="N6" s="3959"/>
      <c r="O6" s="3960" t="s">
        <v>1076</v>
      </c>
      <c r="P6" s="3955"/>
      <c r="Q6" s="2503"/>
    </row>
    <row r="7" spans="1:28" s="1" customFormat="1" ht="25.15" customHeight="1" thickBot="1" x14ac:dyDescent="0.25">
      <c r="A7" s="2503"/>
      <c r="C7" s="1845">
        <v>2</v>
      </c>
      <c r="D7" s="1846" t="s">
        <v>1077</v>
      </c>
      <c r="E7" s="1846"/>
      <c r="F7" s="1846"/>
      <c r="G7" s="1846"/>
      <c r="H7" s="1846"/>
      <c r="I7" s="1847" t="s">
        <v>1132</v>
      </c>
      <c r="J7" s="1848"/>
      <c r="K7" s="3961">
        <f>'FlV(a)'!J7</f>
        <v>6500</v>
      </c>
      <c r="L7" s="3962"/>
      <c r="M7" s="3963">
        <f>'FlV(a)'!L7</f>
        <v>7500</v>
      </c>
      <c r="N7" s="3964"/>
      <c r="O7" s="3965">
        <f>'FlV(a)'!N7</f>
        <v>8500</v>
      </c>
      <c r="P7" s="3962"/>
      <c r="Q7" s="2503"/>
      <c r="T7" s="435"/>
      <c r="U7" s="435"/>
      <c r="V7" s="435"/>
      <c r="W7" s="435"/>
      <c r="X7" s="435"/>
      <c r="Y7" s="435"/>
      <c r="Z7" s="435"/>
      <c r="AA7" s="435"/>
    </row>
    <row r="8" spans="1:28" s="1" customFormat="1" ht="24" customHeight="1" x14ac:dyDescent="0.2">
      <c r="A8" s="2503"/>
      <c r="C8" s="1843">
        <v>3</v>
      </c>
      <c r="D8" s="1844" t="str">
        <f>IF(Stammdaten!S7=1,"Preis Hauptprodukt (ohne Mwst.)","Preis Hauptprodukt  (incl. Mwst.)")</f>
        <v>Preis Hauptprodukt  (incl. Mwst.)</v>
      </c>
      <c r="E8" s="1844"/>
      <c r="F8" s="1844"/>
      <c r="G8" s="1844"/>
      <c r="H8" s="1844"/>
      <c r="I8" s="1745" t="s">
        <v>58</v>
      </c>
      <c r="J8" s="1444"/>
      <c r="K8" s="3956">
        <f>'FlV(a)'!K13</f>
        <v>0.45442499999999997</v>
      </c>
      <c r="L8" s="3957"/>
      <c r="M8" s="3976">
        <f>'FlV(a)'!M13</f>
        <v>0.45442499999999997</v>
      </c>
      <c r="N8" s="3977"/>
      <c r="O8" s="3978">
        <f>'FlV(a)'!O13</f>
        <v>0.45442499999999997</v>
      </c>
      <c r="P8" s="3957"/>
      <c r="Q8" s="2503"/>
      <c r="T8" s="435"/>
      <c r="U8" s="435"/>
      <c r="V8" s="435"/>
      <c r="W8" s="435"/>
      <c r="X8" s="435"/>
      <c r="Y8" s="435"/>
      <c r="Z8" s="435"/>
      <c r="AA8" s="435"/>
    </row>
    <row r="9" spans="1:28" s="1" customFormat="1" ht="20.45" customHeight="1" x14ac:dyDescent="0.2">
      <c r="A9" s="2503"/>
      <c r="C9" s="1729"/>
      <c r="D9" s="13"/>
      <c r="E9" s="13"/>
      <c r="F9" s="13"/>
      <c r="G9" s="13"/>
      <c r="H9" s="13"/>
      <c r="I9" s="720"/>
      <c r="J9" s="1436"/>
      <c r="K9" s="1757" t="s">
        <v>781</v>
      </c>
      <c r="L9" s="1849" t="s">
        <v>782</v>
      </c>
      <c r="M9" s="1853" t="s">
        <v>781</v>
      </c>
      <c r="N9" s="1854" t="s">
        <v>782</v>
      </c>
      <c r="O9" s="1841" t="s">
        <v>781</v>
      </c>
      <c r="P9" s="1842" t="s">
        <v>782</v>
      </c>
      <c r="Q9" s="2503"/>
      <c r="T9" s="435"/>
      <c r="U9" s="435"/>
      <c r="V9" s="435"/>
      <c r="W9" s="435"/>
      <c r="X9" s="435"/>
      <c r="Y9" s="435"/>
      <c r="Z9" s="435"/>
      <c r="AA9" s="435"/>
    </row>
    <row r="10" spans="1:28" s="30" customFormat="1" ht="20.45" customHeight="1" x14ac:dyDescent="0.2">
      <c r="A10" s="2503"/>
      <c r="B10" s="3966" t="s">
        <v>473</v>
      </c>
      <c r="C10" s="1729">
        <v>4</v>
      </c>
      <c r="D10" s="69" t="s">
        <v>59</v>
      </c>
      <c r="E10" s="2" t="s">
        <v>1078</v>
      </c>
      <c r="F10" s="2"/>
      <c r="G10" s="2" t="s">
        <v>60</v>
      </c>
      <c r="H10" s="2"/>
      <c r="I10" s="720"/>
      <c r="J10" s="1436"/>
      <c r="K10" s="1791">
        <f>K7*K8</f>
        <v>2953.7624999999998</v>
      </c>
      <c r="L10" s="1819">
        <f>K10/K7</f>
        <v>0.45442499999999997</v>
      </c>
      <c r="M10" s="1796">
        <f>M7*M8</f>
        <v>3408.1874999999995</v>
      </c>
      <c r="N10" s="1825">
        <f>M10/M7</f>
        <v>0.45442499999999991</v>
      </c>
      <c r="O10" s="1807">
        <f>O7*O8</f>
        <v>3862.6124999999997</v>
      </c>
      <c r="P10" s="1819">
        <f>O10/O7</f>
        <v>0.45442499999999997</v>
      </c>
      <c r="Q10" s="2503"/>
      <c r="T10" s="435"/>
      <c r="U10" s="435"/>
      <c r="V10" s="435"/>
      <c r="W10" s="435"/>
      <c r="X10" s="435"/>
      <c r="Y10" s="435"/>
      <c r="Z10" s="435"/>
      <c r="AA10" s="435"/>
    </row>
    <row r="11" spans="1:28" s="1" customFormat="1" ht="20.45" customHeight="1" x14ac:dyDescent="0.2">
      <c r="A11" s="2503"/>
      <c r="B11" s="3967"/>
      <c r="C11" s="1729">
        <f>C10+1</f>
        <v>5</v>
      </c>
      <c r="D11" s="69"/>
      <c r="E11" s="2" t="s">
        <v>62</v>
      </c>
      <c r="F11" s="2"/>
      <c r="G11" s="2" t="s">
        <v>63</v>
      </c>
      <c r="H11" s="2"/>
      <c r="I11" s="720"/>
      <c r="J11" s="1436"/>
      <c r="K11" s="1791">
        <f>'FlV(a)'!K15</f>
        <v>269.37</v>
      </c>
      <c r="L11" s="1816"/>
      <c r="M11" s="1796">
        <f>'FlV(a)'!M15</f>
        <v>269.37</v>
      </c>
      <c r="N11" s="1855"/>
      <c r="O11" s="1807">
        <f>'FlV(a)'!O15</f>
        <v>269.37</v>
      </c>
      <c r="P11" s="1816"/>
      <c r="Q11" s="2503"/>
      <c r="T11" s="435"/>
      <c r="U11" s="435"/>
      <c r="V11" s="435"/>
      <c r="W11" s="435"/>
      <c r="X11" s="435"/>
      <c r="Y11" s="435"/>
      <c r="Z11" s="435"/>
      <c r="AA11" s="435"/>
    </row>
    <row r="12" spans="1:28" s="1" customFormat="1" ht="20.45" customHeight="1" x14ac:dyDescent="0.2">
      <c r="A12" s="2503"/>
      <c r="B12" s="3967"/>
      <c r="C12" s="1729">
        <f>C11+1</f>
        <v>6</v>
      </c>
      <c r="D12" s="69"/>
      <c r="E12" s="2"/>
      <c r="F12" s="2"/>
      <c r="G12" s="2" t="s">
        <v>1150</v>
      </c>
      <c r="H12" s="2"/>
      <c r="I12" s="720"/>
      <c r="J12" s="1436"/>
      <c r="K12" s="1791">
        <f>'FlV(a)'!K18</f>
        <v>549.13155000000006</v>
      </c>
      <c r="L12" s="1815"/>
      <c r="M12" s="1796">
        <f>'FlV(a)'!M18</f>
        <v>549.13155000000006</v>
      </c>
      <c r="N12" s="1824"/>
      <c r="O12" s="1807">
        <f>'FlV(a)'!O18</f>
        <v>549.13155000000006</v>
      </c>
      <c r="P12" s="1815"/>
      <c r="Q12" s="2503"/>
      <c r="T12" s="435"/>
      <c r="U12" s="435"/>
      <c r="V12" s="435"/>
      <c r="W12" s="435"/>
      <c r="X12" s="435"/>
      <c r="Y12" s="435"/>
      <c r="Z12" s="435"/>
      <c r="AA12" s="435"/>
    </row>
    <row r="13" spans="1:28" s="1" customFormat="1" ht="20.45" customHeight="1" x14ac:dyDescent="0.2">
      <c r="A13" s="2503"/>
      <c r="B13" s="3967"/>
      <c r="C13" s="1729">
        <f>C12+1</f>
        <v>7</v>
      </c>
      <c r="D13" s="10"/>
      <c r="E13" s="3"/>
      <c r="F13" s="3"/>
      <c r="G13" s="10" t="s">
        <v>1084</v>
      </c>
      <c r="H13" s="10"/>
      <c r="I13" s="1740"/>
      <c r="J13" s="1437"/>
      <c r="K13" s="1791">
        <f>'FlV(a)'!K22</f>
        <v>313.45889166666666</v>
      </c>
      <c r="L13" s="1815"/>
      <c r="M13" s="1796">
        <f>'FlV(a)'!M22</f>
        <v>320.74863333333332</v>
      </c>
      <c r="N13" s="1824"/>
      <c r="O13" s="1807">
        <f>'FlV(a)'!O22</f>
        <v>328.03837499999997</v>
      </c>
      <c r="P13" s="1815"/>
      <c r="Q13" s="2503"/>
      <c r="T13" s="435"/>
      <c r="U13" s="435"/>
      <c r="V13" s="435"/>
      <c r="W13" s="435"/>
      <c r="X13" s="435"/>
      <c r="Y13" s="435"/>
      <c r="Z13" s="435"/>
      <c r="AA13" s="435"/>
    </row>
    <row r="14" spans="1:28" s="1" customFormat="1" ht="20.45" customHeight="1" x14ac:dyDescent="0.2">
      <c r="A14" s="2503"/>
      <c r="B14" s="3968"/>
      <c r="C14" s="1729">
        <f>C13+1</f>
        <v>8</v>
      </c>
      <c r="D14" s="13" t="s">
        <v>103</v>
      </c>
      <c r="E14" s="3"/>
      <c r="F14" s="3"/>
      <c r="G14" s="10"/>
      <c r="H14" s="10"/>
      <c r="I14" s="1740"/>
      <c r="J14" s="1437"/>
      <c r="K14" s="1806">
        <f>SUM(K10:K13)</f>
        <v>4085.7229416666664</v>
      </c>
      <c r="L14" s="1819">
        <f>K14/K7</f>
        <v>0.62857276025641018</v>
      </c>
      <c r="M14" s="1805">
        <f>SUM(M10:M13)</f>
        <v>4547.4376833333326</v>
      </c>
      <c r="N14" s="1825">
        <f>M14/M7</f>
        <v>0.60632502444444436</v>
      </c>
      <c r="O14" s="1808">
        <f>SUM(O10:O13)</f>
        <v>5009.1524250000002</v>
      </c>
      <c r="P14" s="1819">
        <f>O14/O7</f>
        <v>0.58931204999999998</v>
      </c>
      <c r="Q14" s="2503"/>
      <c r="T14" s="435"/>
      <c r="U14" s="435"/>
      <c r="V14" s="435"/>
      <c r="W14" s="435"/>
      <c r="X14" s="435"/>
      <c r="Y14" s="435"/>
      <c r="Z14" s="435"/>
      <c r="AA14" s="435"/>
    </row>
    <row r="15" spans="1:28" ht="6" customHeight="1" x14ac:dyDescent="0.2">
      <c r="A15" s="2503"/>
      <c r="B15" s="1798"/>
      <c r="C15" s="1729"/>
      <c r="D15" s="13"/>
      <c r="E15" s="13"/>
      <c r="F15" s="13"/>
      <c r="G15" s="13"/>
      <c r="H15" s="13"/>
      <c r="I15" s="720"/>
      <c r="J15" s="1436"/>
      <c r="K15" s="1762"/>
      <c r="L15" s="1822"/>
      <c r="M15" s="1857"/>
      <c r="N15" s="1829"/>
      <c r="O15" s="1763"/>
      <c r="P15" s="1820"/>
      <c r="Q15" s="2503"/>
      <c r="T15" s="435"/>
      <c r="U15" s="435"/>
      <c r="V15" s="435"/>
      <c r="W15" s="435"/>
      <c r="X15" s="435"/>
      <c r="Y15" s="435"/>
      <c r="Z15" s="435"/>
      <c r="AA15" s="435"/>
    </row>
    <row r="16" spans="1:28" ht="8.4499999999999993" customHeight="1" x14ac:dyDescent="0.2">
      <c r="A16" s="2503"/>
      <c r="B16" s="1798"/>
      <c r="C16" s="1730"/>
      <c r="D16" s="18"/>
      <c r="E16" s="259"/>
      <c r="F16" s="9"/>
      <c r="G16" s="9"/>
      <c r="H16" s="9"/>
      <c r="I16" s="1558"/>
      <c r="J16" s="1434"/>
      <c r="K16" s="1802"/>
      <c r="L16" s="1850"/>
      <c r="M16" s="1858"/>
      <c r="N16" s="1859"/>
      <c r="O16" s="1622"/>
      <c r="P16" s="1821"/>
      <c r="Q16" s="2503"/>
      <c r="T16" s="435"/>
      <c r="U16" s="435"/>
      <c r="V16" s="435"/>
      <c r="W16" s="435"/>
      <c r="X16" s="435"/>
      <c r="Y16" s="435"/>
      <c r="Z16" s="435"/>
      <c r="AA16" s="435"/>
    </row>
    <row r="17" spans="1:29" ht="20.45" customHeight="1" x14ac:dyDescent="0.2">
      <c r="A17" s="2503"/>
      <c r="B17" s="3973" t="s">
        <v>474</v>
      </c>
      <c r="C17" s="1731">
        <v>9</v>
      </c>
      <c r="E17" s="435" t="s">
        <v>1086</v>
      </c>
      <c r="F17" s="11"/>
      <c r="G17" s="11"/>
      <c r="H17" s="11"/>
      <c r="I17" s="720"/>
      <c r="J17" s="1436"/>
      <c r="K17" s="1791">
        <f>'FlV(a)'!K26</f>
        <v>657</v>
      </c>
      <c r="L17" s="1815"/>
      <c r="M17" s="1796">
        <f>'FlV(a)'!M26</f>
        <v>657</v>
      </c>
      <c r="N17" s="1824"/>
      <c r="O17" s="1807">
        <f>'FlV(a)'!O26</f>
        <v>657</v>
      </c>
      <c r="P17" s="1815"/>
      <c r="Q17" s="2503"/>
      <c r="T17" s="435"/>
      <c r="U17" s="435"/>
      <c r="V17" s="435"/>
      <c r="W17" s="435"/>
      <c r="X17" s="435"/>
      <c r="Y17" s="435"/>
      <c r="Z17" s="435"/>
      <c r="AA17" s="435"/>
    </row>
    <row r="18" spans="1:29" ht="20.45" customHeight="1" x14ac:dyDescent="0.2">
      <c r="A18" s="2503"/>
      <c r="B18" s="3974"/>
      <c r="C18" s="1732">
        <f t="shared" ref="C18:C23" si="0">C17+1</f>
        <v>10</v>
      </c>
      <c r="E18" s="11" t="s">
        <v>64</v>
      </c>
      <c r="F18" s="11"/>
      <c r="G18" s="10"/>
      <c r="H18" s="10"/>
      <c r="I18" s="1741"/>
      <c r="J18" s="1439"/>
      <c r="K18" s="1791">
        <f>'FlV(a)'!K28</f>
        <v>762.05850000000009</v>
      </c>
      <c r="L18" s="1815"/>
      <c r="M18" s="1796">
        <f>'FlV(a)'!M28</f>
        <v>811.29100000000017</v>
      </c>
      <c r="N18" s="1824"/>
      <c r="O18" s="1807">
        <f>'FlV(a)'!O28</f>
        <v>860.52350000000013</v>
      </c>
      <c r="P18" s="1815"/>
      <c r="Q18" s="2503"/>
      <c r="T18" s="435"/>
      <c r="U18" s="435"/>
      <c r="V18" s="435"/>
      <c r="W18" s="435"/>
      <c r="X18" s="435"/>
      <c r="Y18" s="435"/>
      <c r="Z18" s="435"/>
      <c r="AA18" s="435"/>
    </row>
    <row r="19" spans="1:29" ht="20.45" customHeight="1" x14ac:dyDescent="0.2">
      <c r="A19" s="2503"/>
      <c r="B19" s="3974"/>
      <c r="C19" s="1732">
        <f t="shared" si="0"/>
        <v>11</v>
      </c>
      <c r="E19" s="11" t="s">
        <v>91</v>
      </c>
      <c r="F19" s="11"/>
      <c r="G19" s="11"/>
      <c r="H19" s="11"/>
      <c r="I19" s="722"/>
      <c r="J19" s="1440"/>
      <c r="K19" s="1791">
        <f>'FlV(a)'!J36+'FlV(a)'!J36*Stammdaten!$P$11</f>
        <v>129.91999999999999</v>
      </c>
      <c r="L19" s="1815"/>
      <c r="M19" s="1796">
        <f>'FlV(a)'!L36+'FlV(a)'!L36*Stammdaten!$P$11</f>
        <v>141.12</v>
      </c>
      <c r="N19" s="1824"/>
      <c r="O19" s="1807">
        <f>'FlV(a)'!N36+'FlV(a)'!N36*Stammdaten!$P$11</f>
        <v>156.80000000000001</v>
      </c>
      <c r="P19" s="1815"/>
      <c r="Q19" s="2503"/>
      <c r="T19" s="435"/>
      <c r="U19" s="435"/>
      <c r="V19" s="435"/>
      <c r="W19" s="435"/>
      <c r="X19" s="435"/>
      <c r="Y19" s="435"/>
      <c r="Z19" s="435"/>
      <c r="AA19" s="435"/>
    </row>
    <row r="20" spans="1:29" ht="20.45" customHeight="1" x14ac:dyDescent="0.2">
      <c r="A20" s="2503"/>
      <c r="B20" s="3974"/>
      <c r="C20" s="1732">
        <f t="shared" si="0"/>
        <v>12</v>
      </c>
      <c r="E20" s="11" t="s">
        <v>1088</v>
      </c>
      <c r="F20" s="11"/>
      <c r="G20" s="11"/>
      <c r="H20" s="11"/>
      <c r="I20" s="722"/>
      <c r="J20" s="1440"/>
      <c r="K20" s="1791">
        <f>'FlV(a)'!J37+'FlV(a)'!J37*Stammdaten!$P$11</f>
        <v>35.840000000000003</v>
      </c>
      <c r="L20" s="1815"/>
      <c r="M20" s="1796">
        <f>'FlV(a)'!L37+'FlV(a)'!L37*Stammdaten!$P$11</f>
        <v>35.840000000000003</v>
      </c>
      <c r="N20" s="1824"/>
      <c r="O20" s="1807">
        <f>'FlV(a)'!N37+'FlV(a)'!N37*Stammdaten!$P$11</f>
        <v>38.08</v>
      </c>
      <c r="P20" s="1815"/>
      <c r="Q20" s="2503"/>
      <c r="T20" s="435"/>
      <c r="U20" s="435"/>
      <c r="V20" s="435"/>
      <c r="W20" s="435"/>
      <c r="X20" s="435"/>
      <c r="Y20" s="435"/>
      <c r="Z20" s="435"/>
      <c r="AA20" s="435"/>
    </row>
    <row r="21" spans="1:29" ht="20.45" customHeight="1" x14ac:dyDescent="0.2">
      <c r="A21" s="2503"/>
      <c r="B21" s="3974"/>
      <c r="C21" s="1732">
        <f t="shared" si="0"/>
        <v>13</v>
      </c>
      <c r="E21" s="11" t="s">
        <v>67</v>
      </c>
      <c r="F21" s="11"/>
      <c r="I21" s="722"/>
      <c r="J21" s="1440"/>
      <c r="K21" s="1791">
        <f>('FlV(a)'!J38+'FlV(a)'!J39+'FlV(a)'!J40+'FlV(a)'!J41+'FlV(a)'!J44)+('FlV(a)'!J38+'FlV(a)'!J39+'FlV(a)'!J40+'FlV(a)'!J41+'FlV(a)'!J44)*Stammdaten!$P$11</f>
        <v>248.19216821666666</v>
      </c>
      <c r="L21" s="1815"/>
      <c r="M21" s="1796">
        <f>('FlV(a)'!L38+'FlV(a)'!L39+'FlV(a)'!L40+'FlV(a)'!L41+'FlV(a)'!L44)+(('FlV(a)'!L38+'FlV(a)'!L39+'FlV(a)'!L40+'FlV(a)'!L41+'FlV(a)'!L44)*Stammdaten!$P$11)</f>
        <v>268.21946781666668</v>
      </c>
      <c r="N21" s="1824"/>
      <c r="O21" s="1807">
        <f>('FlV(a)'!N38+'FlV(a)'!N39+'FlV(a)'!N40+'FlV(a)'!N41+'FlV(a)'!N44)+('FlV(a)'!N38+'FlV(a)'!N39+'FlV(a)'!N40+'FlV(a)'!N41+'FlV(a)'!N44)*Stammdaten!$P$11</f>
        <v>287.12676741666672</v>
      </c>
      <c r="P21" s="1815"/>
      <c r="Q21" s="2503"/>
      <c r="T21" s="435"/>
      <c r="U21" s="435"/>
      <c r="V21" s="435"/>
      <c r="W21" s="435"/>
      <c r="X21" s="435"/>
      <c r="Y21" s="435"/>
      <c r="Z21" s="435"/>
      <c r="AA21" s="435"/>
    </row>
    <row r="22" spans="1:29" ht="20.45" customHeight="1" x14ac:dyDescent="0.2">
      <c r="A22" s="2503"/>
      <c r="B22" s="3974"/>
      <c r="C22" s="1732">
        <f t="shared" si="0"/>
        <v>14</v>
      </c>
      <c r="E22" s="11" t="s">
        <v>66</v>
      </c>
      <c r="F22" s="11"/>
      <c r="G22" s="11"/>
      <c r="H22" s="11"/>
      <c r="I22" s="722"/>
      <c r="J22" s="1440"/>
      <c r="K22" s="1791">
        <f>('FlV(a)'!J43+'FlV(a)'!J43*Stammdaten!$P$11)+('FlV(a)'!J42+'FlV(a)'!J42*Stammdaten!$P$11)</f>
        <v>157.27721629999999</v>
      </c>
      <c r="L22" s="1815"/>
      <c r="M22" s="1796">
        <f>('FlV(a)'!L43+'FlV(a)'!L43*Stammdaten!$P$11)+('FlV(a)'!L42+'FlV(a)'!L42*Stammdaten!$P$11)</f>
        <v>165.0734683</v>
      </c>
      <c r="N22" s="1824"/>
      <c r="O22" s="1807">
        <f>('FlV(a)'!N43+'FlV(a)'!N43*Stammdaten!$P$11)+('FlV(a)'!N42+'FlV(a)'!N42*Stammdaten!$P$11)</f>
        <v>172.86972029999998</v>
      </c>
      <c r="P22" s="1815"/>
      <c r="Q22" s="2503"/>
      <c r="T22" s="435"/>
      <c r="U22" s="435"/>
      <c r="V22" s="435"/>
      <c r="W22" s="435"/>
      <c r="X22" s="435"/>
      <c r="Y22" s="435"/>
      <c r="Z22" s="435"/>
      <c r="AA22" s="435"/>
    </row>
    <row r="23" spans="1:29" ht="20.45" customHeight="1" x14ac:dyDescent="0.2">
      <c r="A23" s="2503"/>
      <c r="B23" s="3975"/>
      <c r="C23" s="1732">
        <f t="shared" si="0"/>
        <v>15</v>
      </c>
      <c r="D23" s="5" t="s">
        <v>105</v>
      </c>
      <c r="E23" s="5"/>
      <c r="F23" s="5"/>
      <c r="G23" s="5"/>
      <c r="H23" s="5"/>
      <c r="I23" s="720"/>
      <c r="J23" s="1436"/>
      <c r="K23" s="1806">
        <f>SUM(K17:K22)</f>
        <v>1990.2878845166667</v>
      </c>
      <c r="L23" s="1819">
        <f>K23/K7</f>
        <v>0.3061981360794872</v>
      </c>
      <c r="M23" s="1805">
        <f>SUM(M17:M22)</f>
        <v>2078.5439361166668</v>
      </c>
      <c r="N23" s="1825">
        <f>M23/M7</f>
        <v>0.27713919148222227</v>
      </c>
      <c r="O23" s="1808">
        <f>SUM(O17:O22)</f>
        <v>2172.3999877166671</v>
      </c>
      <c r="P23" s="1819">
        <f>O23/O7</f>
        <v>0.25557646914313731</v>
      </c>
      <c r="Q23" s="2503"/>
      <c r="T23" s="435"/>
      <c r="V23" s="435"/>
      <c r="W23" s="435"/>
      <c r="X23" s="435"/>
      <c r="Y23" s="435"/>
      <c r="Z23" s="2672"/>
      <c r="AA23" s="435"/>
    </row>
    <row r="24" spans="1:29" ht="9.75" customHeight="1" x14ac:dyDescent="0.2">
      <c r="A24" s="2503"/>
      <c r="B24" s="1798"/>
      <c r="C24" s="1731"/>
      <c r="D24" s="70"/>
      <c r="E24" s="70"/>
      <c r="F24" s="70"/>
      <c r="G24" s="70"/>
      <c r="H24" s="70"/>
      <c r="I24" s="720"/>
      <c r="J24" s="1436"/>
      <c r="K24" s="1794"/>
      <c r="L24" s="1822"/>
      <c r="M24" s="1860"/>
      <c r="N24" s="1829"/>
      <c r="O24" s="1809"/>
      <c r="P24" s="1822"/>
      <c r="Q24" s="2503"/>
      <c r="T24" s="435"/>
      <c r="V24" s="435"/>
      <c r="W24" s="435"/>
      <c r="X24" s="435"/>
      <c r="Y24" s="435"/>
      <c r="Z24" s="2672"/>
      <c r="AA24" s="435"/>
    </row>
    <row r="25" spans="1:29" ht="8.4499999999999993" customHeight="1" x14ac:dyDescent="0.2">
      <c r="A25" s="2503"/>
      <c r="B25" s="1798"/>
      <c r="C25" s="1730"/>
      <c r="D25" s="437"/>
      <c r="E25" s="437"/>
      <c r="F25" s="437"/>
      <c r="G25" s="437"/>
      <c r="H25" s="437"/>
      <c r="I25" s="1743"/>
      <c r="J25" s="1442"/>
      <c r="K25" s="1791"/>
      <c r="L25" s="1851"/>
      <c r="M25" s="1796"/>
      <c r="N25" s="1861"/>
      <c r="O25" s="1807"/>
      <c r="P25" s="1823"/>
      <c r="Q25" s="2503"/>
      <c r="T25" s="435"/>
      <c r="V25" s="435"/>
      <c r="W25" s="435"/>
      <c r="X25" s="435"/>
      <c r="Y25" s="435"/>
      <c r="Z25" s="2672"/>
      <c r="AA25" s="435"/>
    </row>
    <row r="26" spans="1:29" ht="27" customHeight="1" x14ac:dyDescent="0.2">
      <c r="A26" s="2503"/>
      <c r="B26" s="3969" t="s">
        <v>725</v>
      </c>
      <c r="C26" s="2101">
        <v>16</v>
      </c>
      <c r="D26" s="2102" t="s">
        <v>1100</v>
      </c>
      <c r="E26" s="2108"/>
      <c r="F26" s="2108"/>
      <c r="G26" s="2108"/>
      <c r="H26" s="2109"/>
      <c r="I26" s="2110"/>
      <c r="J26" s="2111"/>
      <c r="K26" s="2112">
        <f>K14-K23</f>
        <v>2095.4350571499999</v>
      </c>
      <c r="L26" s="1854">
        <f>K26/K7</f>
        <v>0.32237462417692309</v>
      </c>
      <c r="M26" s="2112">
        <f>M14-M23</f>
        <v>2468.8937472166658</v>
      </c>
      <c r="N26" s="1854">
        <f>M26/M7</f>
        <v>0.32918583296222209</v>
      </c>
      <c r="O26" s="1863">
        <f>O14-O23</f>
        <v>2836.7524372833332</v>
      </c>
      <c r="P26" s="2113">
        <f>O26/O7</f>
        <v>0.33373558085686272</v>
      </c>
      <c r="Q26" s="2503"/>
      <c r="T26" s="435"/>
      <c r="V26" s="435"/>
      <c r="W26" s="435"/>
      <c r="X26" s="435"/>
      <c r="Y26" s="435"/>
      <c r="Z26" s="2672"/>
      <c r="AA26" s="435"/>
    </row>
    <row r="27" spans="1:29" ht="21.2" customHeight="1" x14ac:dyDescent="0.2">
      <c r="A27" s="2503"/>
      <c r="B27" s="3970"/>
      <c r="C27" s="1729">
        <f>C26+1</f>
        <v>17</v>
      </c>
      <c r="E27" s="2" t="s">
        <v>1569</v>
      </c>
      <c r="F27" s="2"/>
      <c r="G27" s="2"/>
      <c r="H27" s="2"/>
      <c r="I27" s="720"/>
      <c r="J27" s="1436"/>
      <c r="K27" s="1791">
        <f>'FlV(a)'!K25</f>
        <v>0</v>
      </c>
      <c r="L27" s="1817"/>
      <c r="M27" s="1796">
        <f>'FlV(a)'!M25</f>
        <v>0</v>
      </c>
      <c r="N27" s="1856"/>
      <c r="O27" s="1807">
        <f>'FlV(a)'!O25</f>
        <v>0</v>
      </c>
      <c r="P27" s="1817"/>
      <c r="Q27" s="2503"/>
      <c r="T27" s="435"/>
      <c r="V27" s="435"/>
      <c r="W27" s="435"/>
      <c r="X27" s="435"/>
      <c r="Y27" s="435"/>
      <c r="Z27" s="2672"/>
      <c r="AA27" s="435"/>
    </row>
    <row r="28" spans="1:29" ht="21.2" customHeight="1" thickBot="1" x14ac:dyDescent="0.25">
      <c r="A28" s="2503"/>
      <c r="B28" s="3970"/>
      <c r="C28" s="1732">
        <f>C27+1</f>
        <v>18</v>
      </c>
      <c r="E28" s="11" t="s">
        <v>779</v>
      </c>
      <c r="F28" s="11"/>
      <c r="G28" s="11"/>
      <c r="H28" s="11"/>
      <c r="I28" s="1742"/>
      <c r="J28" s="1441"/>
      <c r="K28" s="1791">
        <f>'FlV(a)'!K45</f>
        <v>41.920459874999999</v>
      </c>
      <c r="L28" s="1815"/>
      <c r="M28" s="1796">
        <f>'FlV(a)'!M45</f>
        <v>27.137959875</v>
      </c>
      <c r="N28" s="1824"/>
      <c r="O28" s="1807">
        <f>'FlV(a)'!O45</f>
        <v>27.137959875</v>
      </c>
      <c r="P28" s="1815"/>
      <c r="Q28" s="2503"/>
      <c r="T28" s="435"/>
      <c r="V28" s="435"/>
      <c r="W28" s="435"/>
      <c r="X28" s="435"/>
      <c r="Y28" s="435"/>
      <c r="Z28" s="2672"/>
      <c r="AA28" s="435"/>
    </row>
    <row r="29" spans="1:29" ht="28.5" customHeight="1" x14ac:dyDescent="0.2">
      <c r="A29" s="2503"/>
      <c r="B29" s="3971"/>
      <c r="C29" s="2091">
        <f>C28+1</f>
        <v>19</v>
      </c>
      <c r="D29" s="2092" t="s">
        <v>1102</v>
      </c>
      <c r="E29" s="2092"/>
      <c r="F29" s="2092"/>
      <c r="G29" s="2092"/>
      <c r="H29" s="2092"/>
      <c r="I29" s="2093"/>
      <c r="J29" s="1497"/>
      <c r="K29" s="2094">
        <f>K26+K27-K28</f>
        <v>2053.5145972750001</v>
      </c>
      <c r="L29" s="2095">
        <f>K29/K7</f>
        <v>0.31592532265769235</v>
      </c>
      <c r="M29" s="2094">
        <f>M26+M27-M28</f>
        <v>2441.7557873416658</v>
      </c>
      <c r="N29" s="2095">
        <f>M29/M7</f>
        <v>0.32556743831222212</v>
      </c>
      <c r="O29" s="2096">
        <f>O26+O27-O28</f>
        <v>2809.6144774083332</v>
      </c>
      <c r="P29" s="2095">
        <f>O29/O7</f>
        <v>0.33054287969509805</v>
      </c>
      <c r="Q29" s="2503"/>
      <c r="T29" s="435"/>
      <c r="V29" s="435"/>
      <c r="W29" s="435"/>
      <c r="X29" s="3954" t="s">
        <v>1074</v>
      </c>
      <c r="Y29" s="3955"/>
      <c r="Z29" s="3958" t="s">
        <v>1075</v>
      </c>
      <c r="AA29" s="3959"/>
      <c r="AB29" s="3960" t="s">
        <v>1076</v>
      </c>
      <c r="AC29" s="3955"/>
    </row>
    <row r="30" spans="1:29" ht="3.2" customHeight="1" x14ac:dyDescent="0.2">
      <c r="A30" s="2503"/>
      <c r="B30" s="3972"/>
      <c r="C30" s="2098"/>
      <c r="D30" s="1737"/>
      <c r="E30" s="1737"/>
      <c r="F30" s="1737"/>
      <c r="G30" s="1737"/>
      <c r="H30" s="1737"/>
      <c r="I30" s="1747"/>
      <c r="J30" s="1448"/>
      <c r="K30" s="1852"/>
      <c r="L30" s="1826"/>
      <c r="M30" s="1852"/>
      <c r="N30" s="1826"/>
      <c r="O30" s="1764"/>
      <c r="P30" s="1764"/>
      <c r="Q30" s="2503"/>
      <c r="T30" s="435"/>
      <c r="V30" s="435"/>
      <c r="W30" s="435"/>
      <c r="X30" s="435"/>
      <c r="Y30" s="435"/>
      <c r="Z30" s="2672"/>
      <c r="AA30" s="435"/>
    </row>
    <row r="31" spans="1:29" ht="24.75" customHeight="1" x14ac:dyDescent="0.2">
      <c r="A31" s="2503"/>
      <c r="B31" s="2090"/>
      <c r="C31" s="1862">
        <v>20</v>
      </c>
      <c r="D31" s="20"/>
      <c r="E31" s="27" t="s">
        <v>137</v>
      </c>
      <c r="F31" s="27"/>
      <c r="G31" s="12"/>
      <c r="H31" s="12"/>
      <c r="I31" s="1745"/>
      <c r="J31" s="1444"/>
      <c r="K31" s="1794">
        <f>'FlV(a)'!$K$47</f>
        <v>1027.2901902999999</v>
      </c>
      <c r="L31" s="1838">
        <f>K31/K$7</f>
        <v>0.15804464466153845</v>
      </c>
      <c r="M31" s="1860">
        <f>'FlV(a)'!$M$47</f>
        <v>1115.4460778999999</v>
      </c>
      <c r="N31" s="1874">
        <f>M31/M$7</f>
        <v>0.14872614371999998</v>
      </c>
      <c r="O31" s="1809">
        <f>'FlV(a)'!$O$47</f>
        <v>1198.9692935000003</v>
      </c>
      <c r="P31" s="1838">
        <f>O31/O$7</f>
        <v>0.14105521100000004</v>
      </c>
      <c r="Q31" s="2503"/>
      <c r="T31" s="435"/>
      <c r="V31" s="435"/>
      <c r="W31" s="435"/>
      <c r="X31" s="435"/>
      <c r="Y31" s="435"/>
      <c r="Z31" s="2672"/>
      <c r="AA31" s="435"/>
    </row>
    <row r="32" spans="1:29" ht="24.75" customHeight="1" x14ac:dyDescent="0.2">
      <c r="A32" s="2503"/>
      <c r="B32" s="2090"/>
      <c r="C32" s="2091">
        <f>C31+1</f>
        <v>21</v>
      </c>
      <c r="D32" s="2092" t="s">
        <v>1188</v>
      </c>
      <c r="E32" s="2092"/>
      <c r="F32" s="2092"/>
      <c r="G32" s="2092"/>
      <c r="H32" s="2092"/>
      <c r="I32" s="2093"/>
      <c r="J32" s="1497"/>
      <c r="K32" s="2094">
        <f>K29-K31</f>
        <v>1026.2244069750002</v>
      </c>
      <c r="L32" s="2095">
        <f>$K$32/$K$7</f>
        <v>0.15788067799615388</v>
      </c>
      <c r="M32" s="2094">
        <f>M29-M31</f>
        <v>1326.309709441666</v>
      </c>
      <c r="N32" s="2095">
        <f>$M$32/$M$7</f>
        <v>0.17684129459222214</v>
      </c>
      <c r="O32" s="2096">
        <f>O29-O31</f>
        <v>1610.6451839083329</v>
      </c>
      <c r="P32" s="2097">
        <f>$O$32/$O$7</f>
        <v>0.18948766869509798</v>
      </c>
      <c r="Q32" s="2503"/>
      <c r="S32" s="435"/>
      <c r="T32" s="435"/>
      <c r="U32" s="435"/>
      <c r="V32" s="2674" t="s">
        <v>620</v>
      </c>
      <c r="W32" s="2674" t="s">
        <v>1079</v>
      </c>
      <c r="Y32" s="2523">
        <f>'FlV(a)'!K52+'FlV(a)'!K55+'FlV(a)'!K58</f>
        <v>380.57641765</v>
      </c>
      <c r="AA32" s="2523">
        <f>'FlV(a)'!M52+'FlV(a)'!M55+'FlV(a)'!M58</f>
        <v>424.93183920000001</v>
      </c>
      <c r="AC32" s="2523">
        <f>'FlV(a)'!O52+'FlV(a)'!O55+'FlV(a)'!O58</f>
        <v>469.86634475000005</v>
      </c>
    </row>
    <row r="33" spans="1:29" ht="9" customHeight="1" x14ac:dyDescent="0.2">
      <c r="A33" s="2503"/>
      <c r="B33" s="1798"/>
      <c r="C33" s="2098"/>
      <c r="D33" s="1737"/>
      <c r="E33" s="1737"/>
      <c r="F33" s="1737"/>
      <c r="G33" s="1737"/>
      <c r="H33" s="1737"/>
      <c r="I33" s="1747"/>
      <c r="J33" s="1448"/>
      <c r="K33" s="1852"/>
      <c r="L33" s="1826"/>
      <c r="M33" s="1852"/>
      <c r="N33" s="1826"/>
      <c r="O33" s="1764"/>
      <c r="P33" s="1764"/>
      <c r="Q33" s="2503"/>
      <c r="S33" s="435"/>
      <c r="T33" s="435"/>
      <c r="U33" s="435"/>
      <c r="V33" s="2674"/>
      <c r="W33" s="2674"/>
      <c r="Y33" s="2523"/>
      <c r="AA33" s="2523"/>
      <c r="AC33" s="2523"/>
    </row>
    <row r="34" spans="1:29" ht="26.45" customHeight="1" x14ac:dyDescent="0.2">
      <c r="A34" s="2503"/>
      <c r="B34" s="3966" t="s">
        <v>92</v>
      </c>
      <c r="C34" s="1862">
        <v>22</v>
      </c>
      <c r="D34" s="83" t="s">
        <v>76</v>
      </c>
      <c r="E34" s="83"/>
      <c r="F34" s="83"/>
      <c r="G34" s="83"/>
      <c r="H34" s="83"/>
      <c r="I34" s="721" t="s">
        <v>534</v>
      </c>
      <c r="J34" s="97"/>
      <c r="K34" s="1835">
        <f>'FlV(a)'!$J$60</f>
        <v>45</v>
      </c>
      <c r="L34" s="1865"/>
      <c r="M34" s="1863">
        <f>'FlV(a)'!$L$60</f>
        <v>47</v>
      </c>
      <c r="N34" s="1870"/>
      <c r="O34" s="1812">
        <f>'FlV(a)'!$N$60</f>
        <v>49</v>
      </c>
      <c r="P34" s="1827"/>
      <c r="Q34" s="2503"/>
      <c r="S34" s="435"/>
      <c r="T34" s="435"/>
      <c r="U34" s="435"/>
      <c r="V34" s="2674" t="s">
        <v>621</v>
      </c>
      <c r="W34" s="2674" t="s">
        <v>619</v>
      </c>
      <c r="X34" s="2523">
        <f>K34</f>
        <v>45</v>
      </c>
      <c r="Y34" s="2523">
        <f>X34*Stammdaten!$P$39</f>
        <v>787.5</v>
      </c>
      <c r="Z34" s="2523">
        <f>M34</f>
        <v>47</v>
      </c>
      <c r="AA34" s="2523">
        <f>Z34*Stammdaten!$P$39</f>
        <v>822.5</v>
      </c>
      <c r="AB34" s="2523">
        <f>O34</f>
        <v>49</v>
      </c>
      <c r="AC34" s="2523">
        <f>AB34*Stammdaten!$P$39</f>
        <v>857.5</v>
      </c>
    </row>
    <row r="35" spans="1:29" ht="3.2" customHeight="1" x14ac:dyDescent="0.2">
      <c r="A35" s="2503"/>
      <c r="B35" s="3967"/>
      <c r="C35" s="1731"/>
      <c r="D35" s="5"/>
      <c r="E35" s="5"/>
      <c r="F35" s="5"/>
      <c r="G35" s="5"/>
      <c r="H35" s="5"/>
      <c r="I35" s="720"/>
      <c r="J35" s="1436"/>
      <c r="K35" s="1791"/>
      <c r="L35" s="1866"/>
      <c r="M35" s="1810"/>
      <c r="N35" s="1871"/>
      <c r="O35" s="1807"/>
      <c r="P35" s="1828"/>
      <c r="Q35" s="2503"/>
      <c r="S35" s="435"/>
      <c r="T35" s="435"/>
      <c r="U35" s="435"/>
      <c r="V35" s="2674"/>
      <c r="W35" s="2674"/>
      <c r="X35" s="2523"/>
      <c r="Y35" s="2523"/>
      <c r="Z35" s="2523"/>
      <c r="AA35" s="2523"/>
      <c r="AB35" s="2523"/>
      <c r="AC35" s="2523"/>
    </row>
    <row r="36" spans="1:29" ht="20.45" customHeight="1" x14ac:dyDescent="0.2">
      <c r="A36" s="2503"/>
      <c r="B36" s="3967"/>
      <c r="C36" s="1731">
        <v>23</v>
      </c>
      <c r="E36" s="11" t="s">
        <v>78</v>
      </c>
      <c r="F36" s="11"/>
      <c r="I36" s="720"/>
      <c r="J36" s="1440"/>
      <c r="K36" s="1791">
        <f>'FlV(a)'!$K$59</f>
        <v>787.5</v>
      </c>
      <c r="L36" s="1840">
        <f>K36/K$7</f>
        <v>0.12115384615384615</v>
      </c>
      <c r="M36" s="1810">
        <f>'FlV(a)'!$M$59</f>
        <v>822.5</v>
      </c>
      <c r="N36" s="2002">
        <f>M36/M$7</f>
        <v>0.10966666666666666</v>
      </c>
      <c r="O36" s="1807">
        <f>'FlV(a)'!$O$59</f>
        <v>857.5</v>
      </c>
      <c r="P36" s="1832">
        <f>O36/O$7</f>
        <v>0.10088235294117646</v>
      </c>
      <c r="Q36" s="2503"/>
      <c r="S36" s="435"/>
      <c r="T36" s="435"/>
      <c r="U36" s="435"/>
      <c r="V36" s="2674" t="s">
        <v>622</v>
      </c>
      <c r="W36" s="2674" t="s">
        <v>619</v>
      </c>
      <c r="X36" s="2523">
        <f>'FlV(a)'!J61</f>
        <v>6.8048517403420972</v>
      </c>
      <c r="Y36" s="2523">
        <f>X36*Stammdaten!$P$39</f>
        <v>119.0849054559867</v>
      </c>
      <c r="Z36" s="2523">
        <f>'FlV(a)'!L61</f>
        <v>7.2516399185268039</v>
      </c>
      <c r="AA36" s="2523">
        <f>Z36*Stammdaten!$P$39</f>
        <v>126.90369857421906</v>
      </c>
      <c r="AB36" s="2523">
        <f>'FlV(a)'!N61</f>
        <v>7.6408241313180891</v>
      </c>
      <c r="AC36" s="2523">
        <f>AB36*Stammdaten!$P$39</f>
        <v>133.71442229806655</v>
      </c>
    </row>
    <row r="37" spans="1:29" ht="20.45" customHeight="1" x14ac:dyDescent="0.2">
      <c r="A37" s="2503"/>
      <c r="B37" s="3967"/>
      <c r="C37" s="1731">
        <f>C36+1</f>
        <v>24</v>
      </c>
      <c r="E37" s="11" t="s">
        <v>79</v>
      </c>
      <c r="F37" s="11"/>
      <c r="G37" s="11"/>
      <c r="H37" s="11"/>
      <c r="I37" s="1748"/>
      <c r="J37" s="1440"/>
      <c r="K37" s="1791">
        <f>'FlV(a)'!$K$62</f>
        <v>483.69533333333328</v>
      </c>
      <c r="L37" s="1867"/>
      <c r="M37" s="1810">
        <f>'FlV(a)'!$M$62</f>
        <v>483.69533333333328</v>
      </c>
      <c r="N37" s="1872"/>
      <c r="O37" s="1807">
        <f>'FlV(a)'!$O$62</f>
        <v>483.69533333333328</v>
      </c>
      <c r="P37" s="1815"/>
      <c r="Q37" s="2503"/>
      <c r="S37" s="435"/>
      <c r="T37" s="435"/>
      <c r="U37" s="435"/>
      <c r="V37" s="2674" t="s">
        <v>623</v>
      </c>
      <c r="W37" s="2674" t="s">
        <v>619</v>
      </c>
      <c r="X37" s="2523">
        <f>X34+X36</f>
        <v>51.804851740342095</v>
      </c>
      <c r="Y37" s="2523">
        <f>X37*Stammdaten!$P$39</f>
        <v>906.5849054559867</v>
      </c>
      <c r="Z37" s="2523">
        <f>Z34+Z36</f>
        <v>54.251639918526806</v>
      </c>
      <c r="AA37" s="2523">
        <f>Z37*Stammdaten!$P$39</f>
        <v>949.40369857421911</v>
      </c>
      <c r="AB37" s="2523">
        <f>AB34+AB36</f>
        <v>56.640824131318091</v>
      </c>
      <c r="AC37" s="2523">
        <f>AB37*Stammdaten!$P$39</f>
        <v>991.21442229806655</v>
      </c>
    </row>
    <row r="38" spans="1:29" ht="20.45" customHeight="1" x14ac:dyDescent="0.2">
      <c r="A38" s="2503"/>
      <c r="B38" s="3967"/>
      <c r="C38" s="1731">
        <f>C37+1</f>
        <v>25</v>
      </c>
      <c r="E38" s="2" t="s">
        <v>80</v>
      </c>
      <c r="F38" s="2"/>
      <c r="G38" s="11"/>
      <c r="H38" s="11"/>
      <c r="I38" s="722"/>
      <c r="J38" s="1440"/>
      <c r="K38" s="1791">
        <f>'FlV(a)'!$K$63</f>
        <v>268.0435333333333</v>
      </c>
      <c r="L38" s="1867"/>
      <c r="M38" s="1810">
        <f>'FlV(a)'!$M$63</f>
        <v>268.0435333333333</v>
      </c>
      <c r="N38" s="1872"/>
      <c r="O38" s="1807">
        <f>'FlV(a)'!$O$63</f>
        <v>268.0435333333333</v>
      </c>
      <c r="P38" s="1815"/>
      <c r="Q38" s="2503"/>
      <c r="T38" s="435"/>
      <c r="U38" s="435"/>
      <c r="V38" s="435"/>
      <c r="W38" s="435"/>
      <c r="X38" s="435"/>
      <c r="Y38" s="435"/>
      <c r="Z38" s="2672"/>
      <c r="AA38" s="435"/>
    </row>
    <row r="39" spans="1:29" ht="20.45" customHeight="1" x14ac:dyDescent="0.2">
      <c r="A39" s="2503"/>
      <c r="B39" s="3967"/>
      <c r="C39" s="1731">
        <f>C38+1</f>
        <v>26</v>
      </c>
      <c r="E39" s="2" t="s">
        <v>81</v>
      </c>
      <c r="F39" s="2"/>
      <c r="G39" s="11"/>
      <c r="H39" s="11"/>
      <c r="I39" s="722"/>
      <c r="J39" s="1440"/>
      <c r="K39" s="1791">
        <f>'FlV(a)'!$K$64</f>
        <v>93.12939999999999</v>
      </c>
      <c r="L39" s="1867"/>
      <c r="M39" s="1810">
        <f>'FlV(a)'!$M$64</f>
        <v>93.12939999999999</v>
      </c>
      <c r="N39" s="1872"/>
      <c r="O39" s="1807">
        <f>'FlV(a)'!$O$64</f>
        <v>93.12939999999999</v>
      </c>
      <c r="P39" s="1815"/>
      <c r="Q39" s="2503"/>
      <c r="T39" s="435"/>
      <c r="U39" s="435"/>
      <c r="V39" s="435"/>
      <c r="W39" s="435"/>
      <c r="X39" s="435"/>
      <c r="Y39" s="435"/>
      <c r="Z39" s="435"/>
      <c r="AA39" s="435"/>
    </row>
    <row r="40" spans="1:29" ht="20.45" customHeight="1" x14ac:dyDescent="0.2">
      <c r="A40" s="2503"/>
      <c r="B40" s="3967"/>
      <c r="C40" s="1731">
        <f>C39+1</f>
        <v>27</v>
      </c>
      <c r="E40" s="11" t="s">
        <v>895</v>
      </c>
      <c r="F40" s="11"/>
      <c r="G40" s="11"/>
      <c r="H40" s="11"/>
      <c r="I40" s="722"/>
      <c r="J40" s="1440"/>
      <c r="K40" s="1791">
        <f>$M$40</f>
        <v>117.60000000000001</v>
      </c>
      <c r="L40" s="1867"/>
      <c r="M40" s="1810">
        <f>Stammdaten!$P$62</f>
        <v>117.60000000000001</v>
      </c>
      <c r="N40" s="1872"/>
      <c r="O40" s="1807">
        <f>$M$40</f>
        <v>117.60000000000001</v>
      </c>
      <c r="P40" s="1819"/>
      <c r="Q40" s="2503"/>
      <c r="T40" s="435"/>
      <c r="U40" s="435"/>
      <c r="V40" s="435"/>
      <c r="W40" s="435"/>
      <c r="X40" s="435"/>
      <c r="Y40" s="435"/>
      <c r="Z40" s="435"/>
      <c r="AA40" s="435"/>
    </row>
    <row r="41" spans="1:29" ht="20.45" customHeight="1" x14ac:dyDescent="0.2">
      <c r="A41" s="2503"/>
      <c r="B41" s="3968"/>
      <c r="C41" s="1733">
        <f>C40+1</f>
        <v>28</v>
      </c>
      <c r="D41" s="12" t="s">
        <v>138</v>
      </c>
      <c r="E41" s="12"/>
      <c r="F41" s="12"/>
      <c r="G41" s="12"/>
      <c r="H41" s="12"/>
      <c r="I41" s="1751"/>
      <c r="J41" s="1450"/>
      <c r="K41" s="1836">
        <f>SUM($K$36:$K$40)</f>
        <v>1749.9682666666665</v>
      </c>
      <c r="L41" s="1838">
        <f>K41/$K$7</f>
        <v>0.26922588717948714</v>
      </c>
      <c r="M41" s="1864">
        <f>SUM($M$36:$M$40)</f>
        <v>1784.9682666666665</v>
      </c>
      <c r="N41" s="1874">
        <f>M41/$M$7</f>
        <v>0.23799576888888888</v>
      </c>
      <c r="O41" s="1837">
        <f>SUM($O$36:$O$40)</f>
        <v>1819.9682666666665</v>
      </c>
      <c r="P41" s="1838">
        <f>O41/$O$7</f>
        <v>0.21411391372549018</v>
      </c>
      <c r="Q41" s="2503"/>
      <c r="T41" s="435"/>
      <c r="U41" s="435"/>
      <c r="V41" s="435"/>
      <c r="W41" s="435"/>
      <c r="X41" s="435"/>
      <c r="Y41" s="435"/>
      <c r="Z41" s="435"/>
      <c r="AA41" s="435"/>
    </row>
    <row r="42" spans="1:29" ht="3.2" customHeight="1" x14ac:dyDescent="0.2">
      <c r="A42" s="2503"/>
      <c r="B42" s="1798"/>
      <c r="C42" s="1734"/>
      <c r="D42" s="887"/>
      <c r="E42" s="887"/>
      <c r="F42" s="887"/>
      <c r="G42" s="887"/>
      <c r="H42" s="887"/>
      <c r="I42" s="891"/>
      <c r="J42" s="1446"/>
      <c r="K42" s="1796"/>
      <c r="L42" s="1868"/>
      <c r="M42" s="1810"/>
      <c r="N42" s="1868"/>
      <c r="O42" s="1810"/>
      <c r="P42" s="1829"/>
      <c r="Q42" s="2503"/>
      <c r="T42" s="435"/>
      <c r="U42" s="435"/>
      <c r="V42" s="435"/>
      <c r="W42" s="435"/>
      <c r="X42" s="435"/>
      <c r="Y42" s="435"/>
      <c r="Z42" s="435"/>
      <c r="AA42" s="435"/>
      <c r="AB42"/>
      <c r="AC42"/>
    </row>
    <row r="43" spans="1:29" ht="24" customHeight="1" x14ac:dyDescent="0.2">
      <c r="A43" s="2503"/>
      <c r="B43" s="1798"/>
      <c r="C43" s="1734">
        <v>29</v>
      </c>
      <c r="D43" s="887" t="s">
        <v>84</v>
      </c>
      <c r="E43" s="887"/>
      <c r="F43" s="887"/>
      <c r="G43" s="887"/>
      <c r="H43" s="2673" t="s">
        <v>1302</v>
      </c>
      <c r="I43" s="1746"/>
      <c r="J43" s="1446"/>
      <c r="K43" s="1805">
        <f>K32-K41</f>
        <v>-723.74385969166633</v>
      </c>
      <c r="L43" s="1869">
        <f>K43/K7</f>
        <v>-0.11134520918333328</v>
      </c>
      <c r="M43" s="1811">
        <f>M32-M41</f>
        <v>-458.65855722500055</v>
      </c>
      <c r="N43" s="1869">
        <f>M43/M7</f>
        <v>-6.115447429666674E-2</v>
      </c>
      <c r="O43" s="1811">
        <f>O32-O41</f>
        <v>-209.32308275833361</v>
      </c>
      <c r="P43" s="1825">
        <f>O43/O7</f>
        <v>-2.462624503039219E-2</v>
      </c>
      <c r="Q43" s="2503"/>
      <c r="T43" s="435"/>
      <c r="U43" s="435"/>
      <c r="V43" s="435"/>
      <c r="W43" s="435"/>
      <c r="X43" s="435"/>
      <c r="Y43" s="435"/>
      <c r="Z43" s="435"/>
      <c r="AA43" s="435"/>
      <c r="AB43"/>
      <c r="AC43"/>
    </row>
    <row r="44" spans="1:29" ht="12.6" customHeight="1" x14ac:dyDescent="0.2">
      <c r="A44" s="2503"/>
      <c r="B44" s="1798"/>
      <c r="C44" s="1735"/>
      <c r="D44" s="926"/>
      <c r="E44" s="926"/>
      <c r="F44" s="926"/>
      <c r="G44" s="926"/>
      <c r="H44" s="926"/>
      <c r="I44" s="1747"/>
      <c r="J44" s="1448"/>
      <c r="K44" s="1804"/>
      <c r="L44" s="1830"/>
      <c r="M44" s="1813"/>
      <c r="N44" s="1830"/>
      <c r="O44" s="1813"/>
      <c r="P44" s="1830"/>
      <c r="Q44" s="2503"/>
      <c r="T44" s="435"/>
      <c r="U44" s="435"/>
      <c r="V44" s="435"/>
      <c r="W44" s="435"/>
      <c r="X44" s="435"/>
      <c r="Y44" s="435"/>
      <c r="Z44" s="435"/>
      <c r="AA44" s="435"/>
      <c r="AB44"/>
      <c r="AC44"/>
    </row>
    <row r="45" spans="1:29" ht="7.15" customHeight="1" x14ac:dyDescent="0.2">
      <c r="A45" s="2503"/>
      <c r="B45" s="1798"/>
      <c r="C45"/>
      <c r="D45"/>
      <c r="E45"/>
      <c r="F45"/>
      <c r="G45"/>
      <c r="H45"/>
      <c r="I45" s="1287"/>
      <c r="J45" s="611"/>
      <c r="K45" s="1795"/>
      <c r="L45" s="589"/>
      <c r="M45" s="1803"/>
      <c r="N45" s="1797"/>
      <c r="O45" s="1803"/>
      <c r="P45" s="1797"/>
      <c r="Q45" s="2503"/>
      <c r="T45" s="435"/>
      <c r="U45" s="435"/>
      <c r="V45" s="435"/>
      <c r="W45" s="435"/>
      <c r="X45" s="435"/>
      <c r="Y45" s="435"/>
      <c r="Z45" s="435"/>
      <c r="AA45" s="435"/>
    </row>
    <row r="46" spans="1:29" ht="21.2" customHeight="1" x14ac:dyDescent="0.2">
      <c r="A46" s="2503"/>
      <c r="B46" s="3952" t="s">
        <v>89</v>
      </c>
      <c r="C46" s="1730">
        <v>30</v>
      </c>
      <c r="D46" s="1738" t="s">
        <v>862</v>
      </c>
      <c r="E46" s="1738"/>
      <c r="F46" s="1738"/>
      <c r="G46" s="1738"/>
      <c r="H46" s="1738"/>
      <c r="I46" s="1750"/>
      <c r="J46" s="1739"/>
      <c r="K46" s="1793"/>
      <c r="L46" s="1877"/>
      <c r="M46" s="1875"/>
      <c r="N46" s="1881"/>
      <c r="O46" s="1814"/>
      <c r="P46" s="1831"/>
      <c r="Q46" s="2503"/>
      <c r="T46" s="435"/>
      <c r="U46" s="435"/>
      <c r="V46" s="435"/>
      <c r="W46" s="435"/>
      <c r="X46" s="435"/>
      <c r="Y46" s="435"/>
      <c r="Z46" s="435"/>
      <c r="AA46" s="435"/>
    </row>
    <row r="47" spans="1:29" ht="21.2" customHeight="1" x14ac:dyDescent="0.2">
      <c r="A47" s="2503"/>
      <c r="B47" s="3953"/>
      <c r="C47" s="1731">
        <f>C46+1</f>
        <v>31</v>
      </c>
      <c r="D47" s="5"/>
      <c r="E47" s="5" t="s">
        <v>778</v>
      </c>
      <c r="F47" s="5"/>
      <c r="G47" s="5"/>
      <c r="H47" s="2673" t="s">
        <v>1303</v>
      </c>
      <c r="I47" s="722"/>
      <c r="J47" s="1440"/>
      <c r="K47" s="1791">
        <f>K43+K36+Y36</f>
        <v>182.84104576432037</v>
      </c>
      <c r="L47" s="1840"/>
      <c r="M47" s="1810">
        <f>M43+M36+AA36</f>
        <v>490.7451413492185</v>
      </c>
      <c r="N47" s="1873"/>
      <c r="O47" s="1791">
        <f>O43+O36+AC36</f>
        <v>781.89133953973294</v>
      </c>
      <c r="P47" s="1832"/>
      <c r="Q47" s="2503"/>
      <c r="T47" s="435"/>
      <c r="U47" s="435"/>
      <c r="V47" s="435"/>
      <c r="W47" s="435"/>
      <c r="X47" s="435"/>
      <c r="Y47" s="435"/>
      <c r="Z47" s="435"/>
      <c r="AA47" s="435"/>
    </row>
    <row r="48" spans="1:29" ht="21.2" customHeight="1" x14ac:dyDescent="0.2">
      <c r="A48" s="2503"/>
      <c r="B48" s="3953"/>
      <c r="C48" s="1731">
        <f>C47+1</f>
        <v>32</v>
      </c>
      <c r="E48" s="1040" t="s">
        <v>1125</v>
      </c>
      <c r="F48" s="4"/>
      <c r="G48" s="5"/>
      <c r="H48" s="2673" t="s">
        <v>1304</v>
      </c>
      <c r="I48" s="722" t="s">
        <v>988</v>
      </c>
      <c r="J48" s="1440"/>
      <c r="K48" s="1792">
        <f>IF(K34=0,0,(K43+K36+Y36)/(K34+X36))</f>
        <v>3.5294193424346045</v>
      </c>
      <c r="L48" s="1878"/>
      <c r="M48" s="1876">
        <f>IF(M34=0,0,(M43+M36+AA36)/(M34+Z36))</f>
        <v>9.0457199466449723</v>
      </c>
      <c r="N48" s="1868"/>
      <c r="O48" s="1801">
        <f>IF(O34=0,0,(O43+O36+AC36)/(O34+AB36))</f>
        <v>13.804377876405336</v>
      </c>
      <c r="P48" s="1822"/>
      <c r="Q48" s="2503"/>
      <c r="T48" s="435"/>
      <c r="U48" s="435"/>
      <c r="V48" s="435"/>
      <c r="W48" s="435"/>
      <c r="X48" s="435"/>
      <c r="Y48" s="435"/>
      <c r="Z48" s="435"/>
      <c r="AA48" s="435"/>
    </row>
    <row r="49" spans="1:27" ht="21.2" customHeight="1" x14ac:dyDescent="0.2">
      <c r="A49" s="2503"/>
      <c r="B49" s="3953"/>
      <c r="C49" s="1731">
        <f>C48+1</f>
        <v>33</v>
      </c>
      <c r="E49" s="70" t="s">
        <v>583</v>
      </c>
      <c r="F49" s="5"/>
      <c r="G49" s="5"/>
      <c r="H49" s="2673" t="s">
        <v>1305</v>
      </c>
      <c r="I49" s="722" t="s">
        <v>989</v>
      </c>
      <c r="J49" s="1440"/>
      <c r="K49" s="1791">
        <f>K43+K37+K38</f>
        <v>27.995006975000251</v>
      </c>
      <c r="L49" s="1879"/>
      <c r="M49" s="1810">
        <f>M43+M37+M38</f>
        <v>293.08030944166603</v>
      </c>
      <c r="N49" s="1882"/>
      <c r="O49" s="1807">
        <f>O43+O37+O38</f>
        <v>542.41578390833297</v>
      </c>
      <c r="P49" s="1818"/>
      <c r="Q49" s="2503"/>
      <c r="T49" s="435"/>
      <c r="U49" s="435"/>
      <c r="V49" s="435"/>
      <c r="W49" s="435"/>
      <c r="X49" s="435"/>
      <c r="Y49" s="435"/>
      <c r="Z49" s="435"/>
      <c r="AA49" s="435"/>
    </row>
    <row r="50" spans="1:27" ht="10.5" customHeight="1" x14ac:dyDescent="0.2">
      <c r="A50" s="2503"/>
      <c r="B50" s="3953"/>
      <c r="C50" s="1736"/>
      <c r="D50" s="20"/>
      <c r="E50" s="12"/>
      <c r="F50" s="12"/>
      <c r="G50" s="439"/>
      <c r="H50" s="439"/>
      <c r="I50" s="1749"/>
      <c r="J50" s="1447"/>
      <c r="K50" s="1791"/>
      <c r="L50" s="1820"/>
      <c r="M50" s="1810"/>
      <c r="N50" s="1883"/>
      <c r="O50" s="1807"/>
      <c r="P50" s="1833"/>
      <c r="Q50" s="2503"/>
      <c r="T50" s="435"/>
      <c r="U50" s="435"/>
      <c r="V50" s="435"/>
      <c r="W50" s="435"/>
      <c r="X50" s="435"/>
      <c r="Y50" s="435"/>
      <c r="Z50" s="435"/>
      <c r="AA50" s="435"/>
    </row>
    <row r="51" spans="1:27" ht="10.5" customHeight="1" x14ac:dyDescent="0.2">
      <c r="A51" s="2503"/>
      <c r="B51" s="3953"/>
      <c r="C51" s="1729"/>
      <c r="F51" s="5"/>
      <c r="G51" s="102"/>
      <c r="H51" s="102"/>
      <c r="I51" s="1744"/>
      <c r="J51" s="1443"/>
      <c r="K51" s="1793"/>
      <c r="L51" s="1878"/>
      <c r="M51" s="1875"/>
      <c r="N51" s="1868"/>
      <c r="O51" s="1814"/>
      <c r="P51" s="1822"/>
      <c r="Q51" s="2503"/>
      <c r="T51" s="435"/>
      <c r="U51" s="435"/>
      <c r="V51" s="435"/>
      <c r="W51" s="435"/>
      <c r="X51" s="435"/>
      <c r="Y51" s="435"/>
      <c r="Z51" s="435"/>
      <c r="AA51" s="435"/>
    </row>
    <row r="52" spans="1:27" ht="20.45" customHeight="1" x14ac:dyDescent="0.2">
      <c r="A52" s="2503"/>
      <c r="B52" s="3953"/>
      <c r="C52" s="1731">
        <v>34</v>
      </c>
      <c r="D52" s="5" t="s">
        <v>87</v>
      </c>
      <c r="E52" s="5"/>
      <c r="F52" s="5"/>
      <c r="G52" s="5"/>
      <c r="H52" s="2673" t="s">
        <v>1306</v>
      </c>
      <c r="I52" s="722" t="s">
        <v>989</v>
      </c>
      <c r="J52" s="1440"/>
      <c r="K52" s="1791">
        <f>K23+K28+K31+K41</f>
        <v>4809.4668013583332</v>
      </c>
      <c r="L52" s="1839">
        <f>K52/K7</f>
        <v>0.73991796943974353</v>
      </c>
      <c r="M52" s="1810">
        <f>M23+M28+M31+M41</f>
        <v>5006.0962405583332</v>
      </c>
      <c r="N52" s="1869">
        <f>M52/M7</f>
        <v>0.66747949874111112</v>
      </c>
      <c r="O52" s="1807">
        <f>O23+O28+O31+O41</f>
        <v>5218.4755077583341</v>
      </c>
      <c r="P52" s="1839">
        <f>O52/O7</f>
        <v>0.61393829503039221</v>
      </c>
      <c r="Q52" s="2503"/>
      <c r="T52" s="435"/>
      <c r="U52" s="435"/>
      <c r="V52" s="435"/>
      <c r="W52" s="435"/>
      <c r="X52" s="435"/>
      <c r="Y52" s="435"/>
      <c r="Z52" s="435"/>
      <c r="AA52" s="435"/>
    </row>
    <row r="53" spans="1:27" ht="20.45" customHeight="1" x14ac:dyDescent="0.2">
      <c r="A53" s="2503"/>
      <c r="B53" s="3953"/>
      <c r="C53" s="1731">
        <f>C52+1</f>
        <v>35</v>
      </c>
      <c r="E53" s="11" t="s">
        <v>88</v>
      </c>
      <c r="F53" s="11"/>
      <c r="G53" s="103"/>
      <c r="H53" s="2673" t="s">
        <v>192</v>
      </c>
      <c r="I53" s="722"/>
      <c r="J53" s="1440"/>
      <c r="K53" s="1791">
        <f>K11+K12+K13+K27</f>
        <v>1131.9604416666666</v>
      </c>
      <c r="L53" s="1840">
        <f>K53/K7</f>
        <v>0.17414776025641024</v>
      </c>
      <c r="M53" s="1810">
        <f>M11+M12+M13+M27</f>
        <v>1139.2501833333333</v>
      </c>
      <c r="N53" s="1873">
        <f>M53/M7</f>
        <v>0.15190002444444445</v>
      </c>
      <c r="O53" s="1807">
        <f>O11+O12+O13+O27</f>
        <v>1146.539925</v>
      </c>
      <c r="P53" s="1840">
        <f>O53/O7</f>
        <v>0.13488705000000001</v>
      </c>
      <c r="Q53" s="2503"/>
      <c r="T53" s="435"/>
      <c r="U53" s="435"/>
      <c r="V53" s="435"/>
      <c r="W53" s="435"/>
      <c r="X53" s="435"/>
      <c r="Y53" s="435"/>
      <c r="Z53" s="435"/>
      <c r="AA53" s="435"/>
    </row>
    <row r="54" spans="1:27" ht="12.6" customHeight="1" x14ac:dyDescent="0.2">
      <c r="A54" s="2503"/>
      <c r="B54" s="3953"/>
      <c r="C54" s="1733"/>
      <c r="D54" s="20"/>
      <c r="E54" s="27"/>
      <c r="F54" s="27"/>
      <c r="G54" s="440"/>
      <c r="H54" s="440"/>
      <c r="I54" s="1751"/>
      <c r="J54" s="1450"/>
      <c r="K54" s="1791"/>
      <c r="L54" s="1880"/>
      <c r="M54" s="1810"/>
      <c r="N54" s="1884"/>
      <c r="O54" s="1807"/>
      <c r="P54" s="1834"/>
      <c r="Q54" s="2503"/>
      <c r="T54" s="435"/>
      <c r="U54" s="435"/>
      <c r="V54" s="435"/>
      <c r="W54" s="435"/>
      <c r="X54" s="435"/>
      <c r="Y54" s="435"/>
      <c r="Z54" s="435"/>
      <c r="AA54" s="435"/>
    </row>
    <row r="55" spans="1:27" ht="20.45" customHeight="1" x14ac:dyDescent="0.2">
      <c r="A55" s="2503"/>
      <c r="B55" s="3953"/>
      <c r="C55" s="1731">
        <v>36</v>
      </c>
      <c r="D55" s="70" t="s">
        <v>1329</v>
      </c>
      <c r="E55" s="11"/>
      <c r="F55" s="11"/>
      <c r="G55" s="103"/>
      <c r="H55" s="103"/>
      <c r="I55" s="722"/>
      <c r="J55" s="1440"/>
      <c r="K55" s="1793">
        <f>(K52-K53)/Stammdaten!S7</f>
        <v>3358.4532965220701</v>
      </c>
      <c r="L55" s="3148">
        <f>$K$55/K7</f>
        <v>0.51668512254185694</v>
      </c>
      <c r="M55" s="1875">
        <f>(M52-M53)/Stammdaten!S7</f>
        <v>3531.3662623059358</v>
      </c>
      <c r="N55" s="3149">
        <f>M55/M7</f>
        <v>0.47084883497412477</v>
      </c>
      <c r="O55" s="1814">
        <f>(O52-O53)/Stammdaten!S7</f>
        <v>3718.6626326560131</v>
      </c>
      <c r="P55" s="3148">
        <f>O55/O7</f>
        <v>0.43748972148894272</v>
      </c>
      <c r="Q55" s="2503"/>
      <c r="T55" s="435"/>
      <c r="U55" s="435"/>
      <c r="V55" s="435"/>
      <c r="W55" s="435"/>
      <c r="X55" s="435"/>
      <c r="Y55" s="435"/>
      <c r="Z55" s="435"/>
      <c r="AA55" s="435"/>
    </row>
    <row r="56" spans="1:27" ht="21.2" customHeight="1" thickBot="1" x14ac:dyDescent="0.25">
      <c r="A56" s="2503"/>
      <c r="B56" s="3953"/>
      <c r="C56" s="1905">
        <v>37</v>
      </c>
      <c r="D56" s="2735"/>
      <c r="E56" s="2736"/>
      <c r="F56" s="2662" t="str">
        <f>IF(Stammdaten!S7=1,"","dto. mit Mwst.")</f>
        <v>dto. mit Mwst.</v>
      </c>
      <c r="G56" s="2663"/>
      <c r="H56" s="2737" t="s">
        <v>1308</v>
      </c>
      <c r="I56" s="2738"/>
      <c r="J56" s="2739"/>
      <c r="K56" s="2003">
        <f>IF(Stammdaten!S7=1,"",K52-K53)</f>
        <v>3677.5063596916666</v>
      </c>
      <c r="L56" s="2740">
        <f>IF(Stammdaten!S7=1,"",K56/K7)</f>
        <v>0.56577020918333332</v>
      </c>
      <c r="M56" s="2004">
        <f>IF(Stammdaten!S7=1,"",M52-M53)</f>
        <v>3866.8460572249996</v>
      </c>
      <c r="N56" s="2741">
        <f>IF(Stammdaten!S7=1,"",M56/M7)</f>
        <v>0.51557947429666662</v>
      </c>
      <c r="O56" s="2005">
        <f>IF(Stammdaten!S7=1,"",O52-O53)</f>
        <v>4071.935582758334</v>
      </c>
      <c r="P56" s="2742">
        <f>IF(Stammdaten!S7=1,"",O56/O7)</f>
        <v>0.47905124503039226</v>
      </c>
      <c r="Q56" s="2503"/>
      <c r="T56" s="435"/>
      <c r="U56" s="435"/>
      <c r="V56" s="435"/>
      <c r="W56" s="435"/>
      <c r="X56" s="435"/>
      <c r="Y56" s="435"/>
      <c r="Z56" s="435"/>
      <c r="AA56" s="435"/>
    </row>
    <row r="57" spans="1:27" ht="6.6" customHeight="1" x14ac:dyDescent="0.2">
      <c r="A57" s="2503"/>
      <c r="B57" s="3953"/>
      <c r="C57" s="1731"/>
      <c r="D57" s="823"/>
      <c r="E57" s="73"/>
      <c r="F57" s="73"/>
      <c r="G57" s="5"/>
      <c r="H57" s="1752"/>
      <c r="I57" s="1744"/>
      <c r="J57" s="96"/>
      <c r="K57" s="1791"/>
      <c r="L57" s="1839"/>
      <c r="M57" s="1810"/>
      <c r="N57" s="1869"/>
      <c r="O57" s="1807"/>
      <c r="P57" s="1819"/>
      <c r="Q57" s="2503"/>
      <c r="T57" s="435"/>
      <c r="U57" s="435"/>
      <c r="V57" s="435"/>
      <c r="W57" s="435"/>
      <c r="X57" s="435"/>
      <c r="Y57" s="435"/>
      <c r="Z57" s="435"/>
      <c r="AA57" s="435"/>
    </row>
    <row r="58" spans="1:27" ht="21.2" customHeight="1" x14ac:dyDescent="0.2">
      <c r="A58" s="2503"/>
      <c r="B58" s="3953"/>
      <c r="C58" s="1731">
        <f>C56+1</f>
        <v>38</v>
      </c>
      <c r="D58" s="70" t="s">
        <v>379</v>
      </c>
      <c r="F58" s="73"/>
      <c r="G58" s="5"/>
      <c r="H58" s="1752"/>
      <c r="I58" s="1744"/>
      <c r="J58" s="96"/>
      <c r="K58" s="1791"/>
      <c r="L58" s="1839"/>
      <c r="M58" s="1810"/>
      <c r="N58" s="1869"/>
      <c r="O58" s="1807"/>
      <c r="P58" s="1819"/>
      <c r="Q58" s="2503"/>
      <c r="T58" s="435"/>
      <c r="U58" s="435"/>
      <c r="V58" s="435"/>
      <c r="W58" s="435"/>
      <c r="X58" s="435"/>
      <c r="Y58" s="435"/>
      <c r="Z58" s="435"/>
      <c r="AA58" s="435"/>
    </row>
    <row r="59" spans="1:27" ht="21.2" customHeight="1" x14ac:dyDescent="0.2">
      <c r="A59" s="2503"/>
      <c r="B59" s="3953"/>
      <c r="C59" s="1731">
        <f t="shared" ref="C59:C65" si="1">C58+1</f>
        <v>39</v>
      </c>
      <c r="D59" s="823"/>
      <c r="E59" s="11" t="s">
        <v>615</v>
      </c>
      <c r="G59" s="5"/>
      <c r="H59" s="1752"/>
      <c r="I59" s="722" t="s">
        <v>989</v>
      </c>
      <c r="J59" s="96"/>
      <c r="K59" s="1791">
        <f>K23+K28</f>
        <v>2032.2083443916667</v>
      </c>
      <c r="L59" s="1840">
        <f>K59/K7</f>
        <v>0.31264743759871794</v>
      </c>
      <c r="M59" s="1810">
        <f>M23+M28</f>
        <v>2105.6818959916668</v>
      </c>
      <c r="N59" s="1873">
        <f>M59/M7</f>
        <v>0.28075758613222224</v>
      </c>
      <c r="O59" s="1807">
        <f>O23+O28</f>
        <v>2199.537947591667</v>
      </c>
      <c r="P59" s="1840">
        <f>O59/O7</f>
        <v>0.25876917030490199</v>
      </c>
      <c r="Q59" s="2503"/>
      <c r="T59" s="435"/>
      <c r="U59" s="435"/>
      <c r="V59" s="435"/>
      <c r="W59" s="435"/>
      <c r="X59" s="435"/>
      <c r="Y59" s="435"/>
      <c r="Z59" s="435"/>
      <c r="AA59" s="435"/>
    </row>
    <row r="60" spans="1:27" ht="21.2" customHeight="1" x14ac:dyDescent="0.2">
      <c r="A60" s="2503"/>
      <c r="B60" s="3953"/>
      <c r="C60" s="1731">
        <f t="shared" si="1"/>
        <v>40</v>
      </c>
      <c r="D60" s="823"/>
      <c r="E60" s="11" t="s">
        <v>616</v>
      </c>
      <c r="G60" s="5"/>
      <c r="H60" s="1752"/>
      <c r="I60" s="1744"/>
      <c r="J60" s="96"/>
      <c r="K60" s="1791">
        <f>Y32</f>
        <v>380.57641765</v>
      </c>
      <c r="L60" s="1840">
        <f>K60/K7</f>
        <v>5.8550218100000002E-2</v>
      </c>
      <c r="M60" s="1796">
        <f>AA32</f>
        <v>424.93183920000001</v>
      </c>
      <c r="N60" s="1873">
        <f>M60/M7</f>
        <v>5.6657578560000005E-2</v>
      </c>
      <c r="O60" s="1791">
        <f>AC32</f>
        <v>469.86634475000005</v>
      </c>
      <c r="P60" s="1840">
        <f>O60/O7</f>
        <v>5.5278393500000009E-2</v>
      </c>
      <c r="Q60" s="2503"/>
      <c r="T60" s="435"/>
      <c r="U60" s="435"/>
      <c r="V60" s="435"/>
      <c r="W60" s="435"/>
      <c r="X60" s="435"/>
      <c r="Y60" s="435"/>
      <c r="Z60" s="435"/>
      <c r="AA60" s="435"/>
    </row>
    <row r="61" spans="1:27" ht="21.2" customHeight="1" x14ac:dyDescent="0.2">
      <c r="A61" s="2503"/>
      <c r="B61" s="3953"/>
      <c r="C61" s="1731">
        <f t="shared" si="1"/>
        <v>41</v>
      </c>
      <c r="D61" s="823"/>
      <c r="E61" s="11" t="s">
        <v>617</v>
      </c>
      <c r="G61" s="5"/>
      <c r="H61" s="1752"/>
      <c r="I61" s="1744"/>
      <c r="J61" s="96"/>
      <c r="K61" s="1791">
        <f>K53</f>
        <v>1131.9604416666666</v>
      </c>
      <c r="L61" s="1840">
        <f>K61/K7</f>
        <v>0.17414776025641024</v>
      </c>
      <c r="M61" s="1810">
        <f>M53</f>
        <v>1139.2501833333333</v>
      </c>
      <c r="N61" s="1873">
        <f>M61/M7</f>
        <v>0.15190002444444445</v>
      </c>
      <c r="O61" s="1807">
        <f>O53</f>
        <v>1146.539925</v>
      </c>
      <c r="P61" s="1840">
        <f>O61/O7</f>
        <v>0.13488705000000001</v>
      </c>
      <c r="Q61" s="2503"/>
      <c r="T61" s="435"/>
      <c r="U61" s="435"/>
      <c r="V61" s="435"/>
      <c r="W61" s="435"/>
      <c r="X61" s="435"/>
      <c r="Y61" s="435"/>
      <c r="Z61" s="435"/>
      <c r="AA61" s="435"/>
    </row>
    <row r="62" spans="1:27" ht="21.2" customHeight="1" x14ac:dyDescent="0.2">
      <c r="A62" s="2503"/>
      <c r="B62" s="3953"/>
      <c r="C62" s="1731">
        <f t="shared" si="1"/>
        <v>42</v>
      </c>
      <c r="D62" s="73" t="s">
        <v>618</v>
      </c>
      <c r="F62" s="73"/>
      <c r="G62" s="5"/>
      <c r="H62" s="1752"/>
      <c r="I62" s="3812" t="s">
        <v>259</v>
      </c>
      <c r="J62" s="96"/>
      <c r="K62" s="1791">
        <f>(K59+K60-K61)/Stammdaten!S7</f>
        <v>1169.7025756849318</v>
      </c>
      <c r="L62" s="1839">
        <f>K62/K7</f>
        <v>0.17995424241306643</v>
      </c>
      <c r="M62" s="1810">
        <f>(M59+M60-M61)/Stammdaten!S7</f>
        <v>1270.6516455327246</v>
      </c>
      <c r="N62" s="1869">
        <f>M62/M7</f>
        <v>0.16942021940436328</v>
      </c>
      <c r="O62" s="1807">
        <f>(O59+O60-O61)/Stammdaten!S7</f>
        <v>1390.743714467276</v>
      </c>
      <c r="P62" s="1839">
        <f>O62/O7</f>
        <v>0.16361690758438541</v>
      </c>
      <c r="Q62" s="2503"/>
      <c r="T62" s="435"/>
      <c r="U62" s="435"/>
      <c r="V62" s="435"/>
      <c r="W62" s="435"/>
      <c r="X62" s="435"/>
      <c r="Y62" s="435"/>
      <c r="Z62" s="435"/>
      <c r="AA62" s="435"/>
    </row>
    <row r="63" spans="1:27" ht="21.2" customHeight="1" thickBot="1" x14ac:dyDescent="0.25">
      <c r="A63" s="2503"/>
      <c r="B63" s="3953"/>
      <c r="C63" s="1905">
        <f t="shared" si="1"/>
        <v>43</v>
      </c>
      <c r="D63" s="2662"/>
      <c r="E63" s="2735"/>
      <c r="F63" s="2662" t="str">
        <f>IF(Stammdaten!S7=1,"","dto. mit Mwst.")</f>
        <v>dto. mit Mwst.</v>
      </c>
      <c r="G63" s="2663"/>
      <c r="H63" s="2733"/>
      <c r="I63" s="3814"/>
      <c r="J63" s="2739"/>
      <c r="K63" s="2003">
        <f>IF(Stammdaten!$S$7=1,"",K59+K60-K61)</f>
        <v>1280.8243203750003</v>
      </c>
      <c r="L63" s="2740">
        <f>K63/K7</f>
        <v>0.19704989544230775</v>
      </c>
      <c r="M63" s="2004">
        <f>IF(Stammdaten!$S$7=1,"",M59+M60-M61)</f>
        <v>1391.3635518583335</v>
      </c>
      <c r="N63" s="2741">
        <f>M63/M7</f>
        <v>0.18551514024777779</v>
      </c>
      <c r="O63" s="2005">
        <f>IF(Stammdaten!$S$7=1,"",O59+O60-O61)</f>
        <v>1522.8643673416673</v>
      </c>
      <c r="P63" s="2742">
        <f>O63/O7</f>
        <v>0.17916051380490203</v>
      </c>
      <c r="Q63" s="2503"/>
      <c r="T63" s="435"/>
      <c r="U63" s="435"/>
      <c r="V63" s="435"/>
      <c r="W63" s="435"/>
      <c r="X63" s="435"/>
      <c r="Y63" s="435"/>
      <c r="Z63" s="435"/>
      <c r="AA63" s="435"/>
    </row>
    <row r="64" spans="1:27" ht="21.2" customHeight="1" x14ac:dyDescent="0.2">
      <c r="A64" s="2503"/>
      <c r="B64" s="3953"/>
      <c r="C64" s="1731">
        <f>C63+1</f>
        <v>44</v>
      </c>
      <c r="D64" s="73" t="s">
        <v>840</v>
      </c>
      <c r="E64" s="73"/>
      <c r="F64" s="73"/>
      <c r="G64" s="5"/>
      <c r="H64" s="2673" t="s">
        <v>1309</v>
      </c>
      <c r="I64" s="722" t="s">
        <v>989</v>
      </c>
      <c r="J64" s="96"/>
      <c r="K64" s="1791">
        <f>K14+K27-K59-K60</f>
        <v>1672.9381796249997</v>
      </c>
      <c r="L64" s="1869"/>
      <c r="M64" s="1810">
        <f>M14+M27-M59-M60</f>
        <v>2016.8239481416658</v>
      </c>
      <c r="N64" s="1869"/>
      <c r="O64" s="1807">
        <f>O14+O27-O59-O60</f>
        <v>2339.7481326583329</v>
      </c>
      <c r="P64" s="1825"/>
      <c r="Q64" s="2503"/>
      <c r="T64" s="435"/>
      <c r="U64" s="435"/>
      <c r="V64" s="435"/>
      <c r="W64" s="435"/>
      <c r="X64" s="435"/>
      <c r="Y64" s="435"/>
      <c r="Z64" s="435"/>
      <c r="AA64" s="435"/>
    </row>
    <row r="65" spans="1:27" ht="16.5" customHeight="1" x14ac:dyDescent="0.2">
      <c r="A65" s="2503"/>
      <c r="B65" s="3953"/>
      <c r="C65" s="1731">
        <f t="shared" si="1"/>
        <v>45</v>
      </c>
      <c r="D65" s="823"/>
      <c r="E65" s="11" t="s">
        <v>380</v>
      </c>
      <c r="G65" s="5"/>
      <c r="H65" s="2673"/>
      <c r="I65" s="1744" t="s">
        <v>381</v>
      </c>
      <c r="J65" s="96"/>
      <c r="K65" s="2724">
        <f>K64/X37</f>
        <v>32.293079188994753</v>
      </c>
      <c r="L65" s="1869"/>
      <c r="M65" s="2725">
        <f>M64/Z37</f>
        <v>37.175354536203159</v>
      </c>
      <c r="N65" s="1869"/>
      <c r="O65" s="2726">
        <f>O64/AB37</f>
        <v>41.308511458692372</v>
      </c>
      <c r="P65" s="1825"/>
      <c r="Q65" s="2503"/>
      <c r="T65" s="435"/>
      <c r="U65" s="435"/>
      <c r="V65" s="435"/>
      <c r="W65" s="435"/>
      <c r="X65" s="435"/>
      <c r="Y65" s="435"/>
      <c r="Z65" s="435"/>
      <c r="AA65" s="435"/>
    </row>
    <row r="66" spans="1:27" ht="4.7" customHeight="1" thickBot="1" x14ac:dyDescent="0.25">
      <c r="A66" s="2503"/>
      <c r="B66" s="3953"/>
      <c r="C66" s="1731"/>
      <c r="D66" s="823"/>
      <c r="E66" s="73"/>
      <c r="F66" s="73"/>
      <c r="H66" s="1752"/>
      <c r="I66" s="1744"/>
      <c r="J66" s="96"/>
      <c r="K66" s="1791"/>
      <c r="L66" s="1869"/>
      <c r="M66" s="1810"/>
      <c r="N66" s="1869"/>
      <c r="O66" s="1807"/>
      <c r="P66" s="1825"/>
      <c r="Q66" s="2503"/>
      <c r="T66" s="435"/>
      <c r="U66" s="435"/>
      <c r="V66" s="435"/>
      <c r="W66" s="435"/>
      <c r="X66" s="435"/>
      <c r="Y66" s="435"/>
      <c r="Z66" s="435"/>
      <c r="AA66" s="435"/>
    </row>
    <row r="67" spans="1:27" ht="22.15" customHeight="1" x14ac:dyDescent="0.2">
      <c r="A67" s="2503"/>
      <c r="B67" s="3953"/>
      <c r="C67" s="2006">
        <v>46</v>
      </c>
      <c r="D67" s="2007" t="s">
        <v>591</v>
      </c>
      <c r="E67" s="2008"/>
      <c r="F67" s="2008"/>
      <c r="G67" s="2734" t="s">
        <v>585</v>
      </c>
      <c r="H67" s="2009"/>
      <c r="I67" s="2010" t="s">
        <v>989</v>
      </c>
      <c r="J67" s="2011"/>
      <c r="K67" s="2012">
        <f>K17+K18+K19+K20+K21+K28+K31</f>
        <v>2902.2213183916665</v>
      </c>
      <c r="L67" s="2013">
        <f>K67/K7</f>
        <v>0.44649558744487178</v>
      </c>
      <c r="M67" s="2014">
        <f>M17+M18+M19+M20+M21+M28+M31</f>
        <v>3056.0545055916664</v>
      </c>
      <c r="N67" s="2013">
        <f>M67/M7</f>
        <v>0.40747393407888888</v>
      </c>
      <c r="O67" s="2014">
        <f>O17+O18+O19+O20+O21+O28+O31</f>
        <v>3225.6375207916672</v>
      </c>
      <c r="P67" s="2013">
        <f>O67/O7</f>
        <v>0.37948676715196084</v>
      </c>
      <c r="Q67" s="2503"/>
      <c r="T67" s="435"/>
      <c r="U67" s="435"/>
      <c r="V67" s="435"/>
      <c r="W67" s="435"/>
      <c r="X67" s="435"/>
      <c r="Y67" s="435"/>
      <c r="Z67" s="435"/>
      <c r="AA67" s="435"/>
    </row>
    <row r="68" spans="1:27" ht="22.15" customHeight="1" x14ac:dyDescent="0.2">
      <c r="A68" s="2503"/>
      <c r="B68" s="3953"/>
      <c r="C68" s="1733">
        <f>C67+1</f>
        <v>47</v>
      </c>
      <c r="D68" s="2018" t="s">
        <v>93</v>
      </c>
      <c r="E68" s="2722"/>
      <c r="F68" s="2722"/>
      <c r="G68" s="12"/>
      <c r="H68" s="1925" t="s">
        <v>1508</v>
      </c>
      <c r="I68" s="2021"/>
      <c r="J68" s="2727"/>
      <c r="K68" s="1794">
        <f>(K14+K27)-K67</f>
        <v>1183.5016232749999</v>
      </c>
      <c r="L68" s="2728">
        <f>K68/K7</f>
        <v>0.18207717281153846</v>
      </c>
      <c r="M68" s="2723">
        <f>(M14+M27)-M67</f>
        <v>1491.3831777416663</v>
      </c>
      <c r="N68" s="2729">
        <f>M68/M7</f>
        <v>0.19885109036555551</v>
      </c>
      <c r="O68" s="1809">
        <f>(O14+O27)-O67</f>
        <v>1783.5149042083331</v>
      </c>
      <c r="P68" s="2728">
        <f>O68/O7</f>
        <v>0.2098252828480392</v>
      </c>
      <c r="Q68" s="2503"/>
      <c r="T68" s="435"/>
      <c r="U68" s="435"/>
      <c r="V68" s="435"/>
      <c r="W68" s="435"/>
      <c r="X68" s="435"/>
      <c r="Y68" s="435"/>
      <c r="Z68" s="435"/>
      <c r="AA68" s="435"/>
    </row>
    <row r="69" spans="1:27" ht="22.15" customHeight="1" thickBot="1" x14ac:dyDescent="0.25">
      <c r="A69" s="2503"/>
      <c r="B69" s="3953"/>
      <c r="C69" s="1905">
        <v>48</v>
      </c>
      <c r="D69" s="2661" t="s">
        <v>382</v>
      </c>
      <c r="E69" s="2662"/>
      <c r="F69" s="2662"/>
      <c r="G69" s="2663"/>
      <c r="H69" s="2733" t="s">
        <v>383</v>
      </c>
      <c r="I69" s="2664"/>
      <c r="J69" s="2665"/>
      <c r="K69" s="2003">
        <f>K22+K36+K38+K39</f>
        <v>1305.9501496333332</v>
      </c>
      <c r="L69" s="2666">
        <f>K69/K7</f>
        <v>0.20091540763589741</v>
      </c>
      <c r="M69" s="2004">
        <f>M22+M36+M38+M39</f>
        <v>1348.7464016333333</v>
      </c>
      <c r="N69" s="2667">
        <f>M69/M7</f>
        <v>0.17983285355111112</v>
      </c>
      <c r="O69" s="2005">
        <f>O22+O36+O38+O39</f>
        <v>1391.5426536333332</v>
      </c>
      <c r="P69" s="2666">
        <f>O69/O7</f>
        <v>0.16371090042745096</v>
      </c>
      <c r="Q69" s="2503"/>
      <c r="T69" s="435"/>
      <c r="U69" s="435"/>
      <c r="V69" s="435"/>
      <c r="W69" s="435"/>
      <c r="X69" s="435"/>
      <c r="Y69" s="435"/>
      <c r="Z69" s="435"/>
      <c r="AA69" s="435"/>
    </row>
    <row r="70" spans="1:27" ht="21.2" customHeight="1" x14ac:dyDescent="0.2">
      <c r="A70" s="2503"/>
      <c r="C70" s="2087" t="s">
        <v>771</v>
      </c>
      <c r="D70" s="29"/>
      <c r="E70" s="29"/>
      <c r="F70" s="29"/>
      <c r="G70" s="2087" t="s">
        <v>1187</v>
      </c>
      <c r="H70" s="29"/>
      <c r="I70" s="68"/>
      <c r="J70" s="68"/>
      <c r="Q70" s="2503"/>
      <c r="T70" s="435"/>
      <c r="U70" s="435"/>
      <c r="V70" s="435"/>
      <c r="W70" s="435"/>
      <c r="X70" s="435"/>
      <c r="Y70" s="435"/>
      <c r="Z70" s="435"/>
      <c r="AA70" s="435"/>
    </row>
    <row r="71" spans="1:27" ht="15" customHeight="1" x14ac:dyDescent="0.2">
      <c r="A71" s="2503"/>
      <c r="B71" s="2503"/>
      <c r="C71" s="2503"/>
      <c r="D71" s="2503"/>
      <c r="E71" s="2503"/>
      <c r="F71" s="2503"/>
      <c r="G71" s="2503"/>
      <c r="H71" s="2503"/>
      <c r="I71" s="2503"/>
      <c r="J71" s="2503"/>
      <c r="K71" s="2503"/>
      <c r="L71" s="2503"/>
      <c r="M71" s="2503" t="s">
        <v>43</v>
      </c>
      <c r="N71" s="2503"/>
      <c r="O71" s="2503"/>
      <c r="P71" s="2503"/>
      <c r="Q71" s="2503"/>
      <c r="T71" s="435"/>
      <c r="U71" s="435"/>
      <c r="V71" s="435"/>
      <c r="W71" s="435"/>
      <c r="X71" s="435"/>
      <c r="Y71" s="435"/>
      <c r="Z71" s="435"/>
      <c r="AA71" s="435"/>
    </row>
    <row r="72" spans="1:27" ht="15" x14ac:dyDescent="0.2">
      <c r="T72" s="435"/>
      <c r="U72" s="435"/>
      <c r="V72" s="435"/>
      <c r="W72" s="435"/>
      <c r="X72" s="435"/>
      <c r="Y72" s="435"/>
      <c r="Z72" s="435"/>
      <c r="AA72" s="435"/>
    </row>
    <row r="92" spans="7:8" ht="33" x14ac:dyDescent="0.2">
      <c r="G92" s="1223"/>
      <c r="H92" s="1223"/>
    </row>
    <row r="93" spans="7:8" ht="13.9" customHeight="1" x14ac:dyDescent="0.2"/>
    <row r="95" spans="7:8" ht="33" customHeight="1" x14ac:dyDescent="0.2"/>
    <row r="98" ht="18" customHeight="1" x14ac:dyDescent="0.2"/>
    <row r="99" ht="18" customHeight="1" x14ac:dyDescent="0.2"/>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9" ht="18.75" customHeight="1" x14ac:dyDescent="0.2"/>
    <row r="110" ht="18.75" customHeight="1" x14ac:dyDescent="0.2"/>
    <row r="111" ht="18.75" customHeight="1" x14ac:dyDescent="0.2"/>
    <row r="112" ht="18.75" customHeight="1" x14ac:dyDescent="0.2"/>
    <row r="113" ht="18.75" customHeight="1" x14ac:dyDescent="0.2"/>
    <row r="114" ht="18.75" customHeight="1" x14ac:dyDescent="0.2"/>
    <row r="115" ht="26.45" customHeight="1" x14ac:dyDescent="0.2"/>
    <row r="116" ht="18.75" customHeight="1" x14ac:dyDescent="0.2"/>
    <row r="117" ht="16.149999999999999" customHeight="1" x14ac:dyDescent="0.2"/>
    <row r="118" ht="40.9" customHeight="1" x14ac:dyDescent="0.2"/>
    <row r="119" ht="17.45" customHeight="1" x14ac:dyDescent="0.2"/>
    <row r="120" ht="16.149999999999999" customHeight="1" x14ac:dyDescent="0.2"/>
    <row r="121" ht="16.149999999999999" customHeight="1" x14ac:dyDescent="0.2"/>
    <row r="122" ht="16.149999999999999" customHeight="1" x14ac:dyDescent="0.2"/>
    <row r="123" ht="16.149999999999999" customHeight="1" x14ac:dyDescent="0.2"/>
    <row r="124" ht="24" customHeight="1" x14ac:dyDescent="0.2"/>
    <row r="125" ht="16.149999999999999" customHeight="1" x14ac:dyDescent="0.2"/>
    <row r="127" ht="40.9" customHeight="1" x14ac:dyDescent="0.2"/>
    <row r="128" ht="42.6" customHeight="1" x14ac:dyDescent="0.2"/>
    <row r="129" ht="39.200000000000003" customHeight="1" x14ac:dyDescent="0.2"/>
    <row r="194" spans="3:18" ht="19.5" x14ac:dyDescent="0.2">
      <c r="D194" s="1346" t="s">
        <v>744</v>
      </c>
    </row>
    <row r="197" spans="3:18" ht="24.6" customHeight="1" x14ac:dyDescent="0.2"/>
    <row r="198" spans="3:18" ht="32.25" x14ac:dyDescent="0.2">
      <c r="E198" s="1224" t="s">
        <v>741</v>
      </c>
      <c r="F198" s="1196" t="s">
        <v>696</v>
      </c>
      <c r="K198" s="1192" t="s">
        <v>698</v>
      </c>
      <c r="M198" s="1767">
        <v>37299</v>
      </c>
      <c r="N198" s="1767"/>
      <c r="P198" s="1767"/>
      <c r="Q198" s="3113" t="s">
        <v>700</v>
      </c>
      <c r="R198" s="345"/>
    </row>
    <row r="199" spans="3:18" ht="15" x14ac:dyDescent="0.2">
      <c r="Q199" s="3114" t="s">
        <v>701</v>
      </c>
      <c r="R199" s="309"/>
    </row>
    <row r="200" spans="3:18" x14ac:dyDescent="0.2">
      <c r="Q200" s="101"/>
      <c r="R200" s="349"/>
    </row>
    <row r="201" spans="3:18" ht="20.25" x14ac:dyDescent="0.2">
      <c r="C201" s="348"/>
      <c r="D201" s="1227" t="s">
        <v>69</v>
      </c>
      <c r="E201" s="1213"/>
      <c r="F201" s="1213"/>
      <c r="G201" s="1213"/>
      <c r="H201" s="1213"/>
      <c r="I201" s="1214"/>
      <c r="J201" s="1215"/>
      <c r="K201" s="1768">
        <f>K26</f>
        <v>2095.4350571499999</v>
      </c>
      <c r="L201" s="1768"/>
      <c r="M201" s="1769">
        <f>M26</f>
        <v>2468.8937472166658</v>
      </c>
      <c r="N201" s="1769"/>
      <c r="O201" s="1768">
        <f>O26</f>
        <v>2836.7524372833332</v>
      </c>
      <c r="P201" s="1769"/>
      <c r="R201" s="1267">
        <f>M201/M14</f>
        <v>0.54291975374733092</v>
      </c>
    </row>
    <row r="202" spans="3:18" ht="16.5" x14ac:dyDescent="0.2">
      <c r="C202" s="7"/>
      <c r="E202" s="11" t="s">
        <v>682</v>
      </c>
      <c r="F202" s="11"/>
      <c r="G202" s="5"/>
      <c r="H202" s="5"/>
      <c r="I202" s="1210"/>
      <c r="J202" s="91"/>
      <c r="K202" s="1759"/>
      <c r="L202" s="1759"/>
      <c r="M202" s="1758"/>
      <c r="N202" s="1758"/>
      <c r="O202" s="1759"/>
      <c r="P202" s="1758"/>
      <c r="Q202" s="1267"/>
      <c r="R202" s="349"/>
    </row>
    <row r="203" spans="3:18" ht="16.5" x14ac:dyDescent="0.2">
      <c r="C203" s="7"/>
      <c r="E203" s="11" t="s">
        <v>742</v>
      </c>
      <c r="F203" s="11"/>
      <c r="G203" s="5"/>
      <c r="H203" s="5"/>
      <c r="I203" s="1211">
        <v>0.45</v>
      </c>
      <c r="J203" s="91"/>
      <c r="K203" s="1759">
        <f>K31*$I$203</f>
        <v>462.28058563499997</v>
      </c>
      <c r="L203" s="1759"/>
      <c r="M203" s="1758">
        <f>M31*$I$203</f>
        <v>501.95073505499994</v>
      </c>
      <c r="N203" s="1758"/>
      <c r="O203" s="1759">
        <f>O31*$I$203</f>
        <v>539.53618207500017</v>
      </c>
      <c r="P203" s="1758"/>
      <c r="R203" s="1267">
        <f>M203/M14</f>
        <v>0.11038100354726869</v>
      </c>
    </row>
    <row r="204" spans="3:18" ht="18" x14ac:dyDescent="0.2">
      <c r="C204" s="889"/>
      <c r="D204" s="1228" t="s">
        <v>70</v>
      </c>
      <c r="E204" s="890"/>
      <c r="F204" s="890"/>
      <c r="G204" s="890"/>
      <c r="H204" s="890"/>
      <c r="I204" s="893"/>
      <c r="J204" s="892"/>
      <c r="K204" s="1761">
        <f>K201-K203</f>
        <v>1633.1544715149998</v>
      </c>
      <c r="L204" s="1761"/>
      <c r="M204" s="1761">
        <f>M201-M203</f>
        <v>1966.9430121616658</v>
      </c>
      <c r="N204" s="1761"/>
      <c r="O204" s="1761">
        <f>O201-O203</f>
        <v>2297.2162552083328</v>
      </c>
      <c r="P204" s="1761"/>
      <c r="R204" s="1268">
        <f>M204/M14</f>
        <v>0.43253875020006216</v>
      </c>
    </row>
    <row r="205" spans="3:18" ht="16.5" x14ac:dyDescent="0.2">
      <c r="C205" s="922"/>
      <c r="D205" s="923"/>
      <c r="E205" s="923"/>
      <c r="F205" s="923"/>
      <c r="G205" s="923"/>
      <c r="H205" s="923"/>
      <c r="I205" s="924" t="s">
        <v>58</v>
      </c>
      <c r="J205" s="925"/>
      <c r="K205" s="1770">
        <f>K204/K7</f>
        <v>0.25125453407923076</v>
      </c>
      <c r="L205" s="1770"/>
      <c r="M205" s="1770">
        <f>M204/M7</f>
        <v>0.2622590682882221</v>
      </c>
      <c r="N205" s="1770"/>
      <c r="O205" s="1770">
        <f>O204/O7</f>
        <v>0.27026073590686267</v>
      </c>
      <c r="P205" s="1770"/>
      <c r="Q205" s="1267"/>
      <c r="R205" s="349"/>
    </row>
    <row r="206" spans="3:18" ht="15.75" x14ac:dyDescent="0.2">
      <c r="C206" s="101"/>
      <c r="E206" s="11" t="s">
        <v>683</v>
      </c>
      <c r="G206" s="434"/>
      <c r="H206" s="434"/>
      <c r="I206" s="1216">
        <f>100%-I203</f>
        <v>0.55000000000000004</v>
      </c>
      <c r="J206" s="84" t="s">
        <v>569</v>
      </c>
      <c r="K206" s="1759">
        <f>K31*$I$206</f>
        <v>565.00960466499998</v>
      </c>
      <c r="L206" s="1759"/>
      <c r="M206" s="1758">
        <f>M31*$I$206</f>
        <v>613.49534284499998</v>
      </c>
      <c r="N206" s="1758"/>
      <c r="O206" s="1759">
        <f>O31*$I$206</f>
        <v>659.43311142500022</v>
      </c>
      <c r="P206" s="1758"/>
      <c r="R206" s="1267">
        <f>M206/$M$14</f>
        <v>0.13491011544666176</v>
      </c>
    </row>
    <row r="207" spans="3:18" ht="16.5" x14ac:dyDescent="0.2">
      <c r="C207" s="6"/>
      <c r="D207" s="4"/>
      <c r="E207" s="11" t="s">
        <v>79</v>
      </c>
      <c r="F207" s="11"/>
      <c r="G207" s="11"/>
      <c r="H207" s="11"/>
      <c r="I207"/>
      <c r="J207" s="94"/>
      <c r="K207" s="1759">
        <f>'FlV(a)'!$K$62</f>
        <v>483.69533333333328</v>
      </c>
      <c r="L207" s="1759"/>
      <c r="M207" s="1758">
        <f>'FlV(a)'!$M$62</f>
        <v>483.69533333333328</v>
      </c>
      <c r="N207" s="1758"/>
      <c r="O207" s="1759">
        <f>'FlV(a)'!$O$62</f>
        <v>483.69533333333328</v>
      </c>
      <c r="P207" s="1758"/>
      <c r="Q207" s="1267"/>
      <c r="R207" s="1267">
        <f t="shared" ref="R207:R212" si="2">M207/$M$14</f>
        <v>0.10636656662852345</v>
      </c>
    </row>
    <row r="208" spans="3:18" ht="16.5" x14ac:dyDescent="0.2">
      <c r="C208" s="6"/>
      <c r="D208" s="4"/>
      <c r="E208" s="67" t="s">
        <v>80</v>
      </c>
      <c r="F208" s="67"/>
      <c r="G208" s="11"/>
      <c r="H208" s="11"/>
      <c r="I208" s="94"/>
      <c r="J208" s="94"/>
      <c r="K208" s="1759">
        <f>'FlV(a)'!$K$63</f>
        <v>268.0435333333333</v>
      </c>
      <c r="L208" s="1759"/>
      <c r="M208" s="1758">
        <f>'FlV(a)'!$M$63</f>
        <v>268.0435333333333</v>
      </c>
      <c r="N208" s="1758"/>
      <c r="O208" s="1759">
        <f>'FlV(a)'!$O$63</f>
        <v>268.0435333333333</v>
      </c>
      <c r="P208" s="1758"/>
      <c r="Q208" s="1267"/>
      <c r="R208" s="1267">
        <f t="shared" si="2"/>
        <v>5.8943860696702016E-2</v>
      </c>
    </row>
    <row r="209" spans="3:18" ht="16.5" x14ac:dyDescent="0.2">
      <c r="C209" s="6"/>
      <c r="D209" s="4"/>
      <c r="E209" s="67" t="s">
        <v>81</v>
      </c>
      <c r="F209" s="67"/>
      <c r="G209" s="11"/>
      <c r="H209" s="11"/>
      <c r="I209" s="94"/>
      <c r="J209" s="94"/>
      <c r="K209" s="1759">
        <f>'FlV(a)'!$K$64</f>
        <v>93.12939999999999</v>
      </c>
      <c r="L209" s="1759"/>
      <c r="M209" s="1758">
        <f>'FlV(a)'!$M$64</f>
        <v>93.12939999999999</v>
      </c>
      <c r="N209" s="1758"/>
      <c r="O209" s="1759">
        <f>'FlV(a)'!$O$64</f>
        <v>93.12939999999999</v>
      </c>
      <c r="P209" s="1758"/>
      <c r="Q209" s="1267"/>
      <c r="R209" s="1267">
        <f t="shared" si="2"/>
        <v>2.0479532977730634E-2</v>
      </c>
    </row>
    <row r="210" spans="3:18" ht="16.5" x14ac:dyDescent="0.2">
      <c r="C210" s="6"/>
      <c r="D210" s="4"/>
      <c r="E210" s="94" t="s">
        <v>82</v>
      </c>
      <c r="F210" s="94"/>
      <c r="G210" s="98"/>
      <c r="H210" s="98"/>
      <c r="I210" s="4"/>
      <c r="J210" s="4"/>
      <c r="K210" s="1759">
        <f>'FlV(a)'!$K$65</f>
        <v>0</v>
      </c>
      <c r="L210" s="1759"/>
      <c r="M210" s="1758">
        <f>'FlV(a)'!$M$65</f>
        <v>0</v>
      </c>
      <c r="N210" s="1758"/>
      <c r="O210" s="1759">
        <f>'FlV(a)'!$O$65</f>
        <v>0</v>
      </c>
      <c r="P210" s="1758"/>
      <c r="Q210" s="1268"/>
      <c r="R210" s="1267">
        <f t="shared" si="2"/>
        <v>0</v>
      </c>
    </row>
    <row r="211" spans="3:18" ht="16.5" x14ac:dyDescent="0.2">
      <c r="C211" s="6"/>
      <c r="D211" s="4"/>
      <c r="E211" s="11" t="s">
        <v>1000</v>
      </c>
      <c r="F211" s="11"/>
      <c r="G211" s="11"/>
      <c r="H211" s="11"/>
      <c r="I211" s="94"/>
      <c r="J211" s="94"/>
      <c r="K211" s="1759">
        <f>$M$40</f>
        <v>117.60000000000001</v>
      </c>
      <c r="L211" s="1759"/>
      <c r="M211" s="1758">
        <f>Stammdaten!$P$62</f>
        <v>117.60000000000001</v>
      </c>
      <c r="N211" s="1758"/>
      <c r="O211" s="1759">
        <f>$M$40</f>
        <v>117.60000000000001</v>
      </c>
      <c r="P211" s="1758"/>
      <c r="Q211" s="1267"/>
      <c r="R211" s="1267">
        <f t="shared" si="2"/>
        <v>2.5860717219064262E-2</v>
      </c>
    </row>
    <row r="212" spans="3:18" ht="16.5" x14ac:dyDescent="0.2">
      <c r="C212" s="7"/>
      <c r="D212" s="5" t="s">
        <v>83</v>
      </c>
      <c r="E212" s="5"/>
      <c r="F212" s="5"/>
      <c r="G212" s="5"/>
      <c r="H212" s="5"/>
      <c r="I212" s="94"/>
      <c r="J212" s="94"/>
      <c r="K212" s="1760">
        <f>SUM(K206:K211)</f>
        <v>1527.4778713316664</v>
      </c>
      <c r="L212" s="1760"/>
      <c r="M212" s="1761">
        <f>SUM(M206:M211)</f>
        <v>1575.9636095116664</v>
      </c>
      <c r="N212" s="1761"/>
      <c r="O212" s="1760">
        <f>SUM(O206:O211)</f>
        <v>1621.9013780916666</v>
      </c>
      <c r="P212" s="1761"/>
      <c r="Q212" s="1268"/>
      <c r="R212" s="1267">
        <f t="shared" si="2"/>
        <v>0.34656079296868209</v>
      </c>
    </row>
    <row r="213" spans="3:18" ht="16.5" x14ac:dyDescent="0.2">
      <c r="C213" s="8"/>
      <c r="D213" s="12"/>
      <c r="E213" s="12"/>
      <c r="F213" s="12"/>
      <c r="G213" s="12"/>
      <c r="H213" s="12"/>
      <c r="I213" s="99" t="s">
        <v>58</v>
      </c>
      <c r="J213" s="100"/>
      <c r="K213" s="1766">
        <f>K212/$K$7</f>
        <v>0.23499659558948713</v>
      </c>
      <c r="L213" s="1766"/>
      <c r="M213" s="1765">
        <f>M212/$M$7</f>
        <v>0.21012848126822217</v>
      </c>
      <c r="N213" s="1765"/>
      <c r="O213" s="1766">
        <f>O212/$O$7</f>
        <v>0.19081192683431372</v>
      </c>
      <c r="P213" s="1765"/>
      <c r="Q213" s="1267"/>
      <c r="R213" s="1267"/>
    </row>
    <row r="214" spans="3:18" ht="15.75" x14ac:dyDescent="0.2">
      <c r="C214" s="1217"/>
      <c r="D214" s="1226" t="s">
        <v>699</v>
      </c>
      <c r="E214" s="1218"/>
      <c r="F214" s="1218"/>
      <c r="G214" s="1218"/>
      <c r="H214" s="1218"/>
      <c r="I214" s="1219"/>
      <c r="J214" s="1220"/>
      <c r="K214" s="1771">
        <f>K212/K204</f>
        <v>0.93529295481443209</v>
      </c>
      <c r="L214" s="1771"/>
      <c r="M214" s="1771">
        <f>M212/M204</f>
        <v>0.80122484472983591</v>
      </c>
      <c r="N214" s="1771"/>
      <c r="O214" s="1771">
        <f>O212/O204</f>
        <v>0.70602903597536038</v>
      </c>
      <c r="P214" s="1771"/>
      <c r="Q214" s="1267"/>
      <c r="R214" s="1267"/>
    </row>
    <row r="215" spans="3:18" ht="15" x14ac:dyDescent="0.2">
      <c r="C215" s="101"/>
      <c r="D215" s="1345" t="s">
        <v>729</v>
      </c>
      <c r="E215" s="1225"/>
      <c r="J215" s="1212"/>
      <c r="K215" s="1772"/>
      <c r="L215" s="1772"/>
      <c r="M215" s="1772"/>
      <c r="N215" s="1772"/>
      <c r="O215" s="1772"/>
      <c r="P215" s="1772"/>
      <c r="Q215" s="1269"/>
      <c r="R215" s="349"/>
    </row>
    <row r="216" spans="3:18" ht="15" x14ac:dyDescent="0.2">
      <c r="C216" s="101"/>
      <c r="D216" s="1225"/>
      <c r="E216" s="1345" t="s">
        <v>684</v>
      </c>
      <c r="J216" s="1212"/>
      <c r="K216" s="1772"/>
      <c r="L216" s="1772"/>
      <c r="M216" s="1772"/>
      <c r="N216" s="1772"/>
      <c r="O216" s="1772"/>
      <c r="P216" s="1772"/>
      <c r="Q216" s="1269"/>
      <c r="R216" s="349"/>
    </row>
    <row r="217" spans="3:18" x14ac:dyDescent="0.2">
      <c r="C217" s="101"/>
      <c r="J217" s="1212"/>
      <c r="K217" s="1772"/>
      <c r="L217" s="1772"/>
      <c r="M217" s="1772"/>
      <c r="N217" s="1772"/>
      <c r="O217" s="1772"/>
      <c r="P217" s="1772"/>
      <c r="Q217" s="1269"/>
      <c r="R217" s="349"/>
    </row>
    <row r="218" spans="3:18" ht="27" x14ac:dyDescent="0.2">
      <c r="C218" s="1229" t="s">
        <v>722</v>
      </c>
      <c r="D218" s="1230"/>
      <c r="E218" s="1231"/>
      <c r="F218" s="1231"/>
      <c r="G218" s="1232"/>
      <c r="H218" s="1232"/>
      <c r="I218" s="1233"/>
      <c r="J218" s="1234"/>
      <c r="K218" s="1773"/>
      <c r="L218" s="1773"/>
      <c r="M218" s="1773"/>
      <c r="N218" s="1773"/>
      <c r="O218" s="1773"/>
      <c r="P218" s="1773"/>
      <c r="Q218" s="1269"/>
      <c r="R218" s="349"/>
    </row>
    <row r="219" spans="3:18" ht="16.5" x14ac:dyDescent="0.2">
      <c r="C219" s="1235"/>
      <c r="D219" s="1236"/>
      <c r="E219" s="1232"/>
      <c r="F219" s="1232"/>
      <c r="G219" s="1232"/>
      <c r="H219" s="1232"/>
      <c r="I219" s="1233"/>
      <c r="J219" s="1234"/>
      <c r="K219" s="1773"/>
      <c r="L219" s="1773"/>
      <c r="M219" s="1773"/>
      <c r="N219" s="1773"/>
      <c r="O219" s="1773"/>
      <c r="P219" s="1773"/>
      <c r="Q219" s="1267"/>
      <c r="R219" s="349"/>
    </row>
    <row r="220" spans="3:18" ht="18" x14ac:dyDescent="0.2">
      <c r="C220" s="1237"/>
      <c r="D220" s="1347" t="s">
        <v>731</v>
      </c>
      <c r="E220" s="1238"/>
      <c r="F220" s="1239"/>
      <c r="G220" s="1239"/>
      <c r="H220" s="1239"/>
      <c r="I220" s="1240"/>
      <c r="J220" s="1241"/>
      <c r="K220" s="1774">
        <f>K204-K212</f>
        <v>105.67660018333345</v>
      </c>
      <c r="L220" s="1774"/>
      <c r="M220" s="1774">
        <f>M204-M212</f>
        <v>390.97940264999943</v>
      </c>
      <c r="N220" s="1774"/>
      <c r="O220" s="1774">
        <f>O204-O212</f>
        <v>675.31487711666614</v>
      </c>
      <c r="P220" s="1774"/>
      <c r="R220" s="1268">
        <f>M220/M14</f>
        <v>8.5977957231380089E-2</v>
      </c>
    </row>
    <row r="221" spans="3:18" ht="15.75" x14ac:dyDescent="0.2">
      <c r="C221" s="1242"/>
      <c r="D221" s="1243"/>
      <c r="E221" s="1243"/>
      <c r="F221" s="1244" t="str">
        <f>" (100 % gekaufte Quoten zu :"&amp;Stammdaten!P54&amp;" €/kg ) "</f>
        <v xml:space="preserve"> (100 % gekaufte Quoten zu :0 €/kg ) </v>
      </c>
      <c r="G221" s="1245"/>
      <c r="H221" s="1245"/>
      <c r="I221" s="1246"/>
      <c r="J221" s="1247"/>
      <c r="K221" s="1775"/>
      <c r="L221" s="1775"/>
      <c r="M221" s="1775"/>
      <c r="N221" s="1775"/>
      <c r="O221" s="1775"/>
      <c r="P221" s="1775"/>
      <c r="Q221" s="1267"/>
      <c r="R221" s="349"/>
    </row>
    <row r="222" spans="3:18" ht="15.75" x14ac:dyDescent="0.2">
      <c r="C222" s="1248"/>
      <c r="D222" s="1249"/>
      <c r="E222" s="1249"/>
      <c r="F222" s="1348" t="s">
        <v>740</v>
      </c>
      <c r="G222" s="1349"/>
      <c r="H222" s="1349"/>
      <c r="I222" s="1233"/>
      <c r="J222" s="1234"/>
      <c r="K222" s="1776"/>
      <c r="L222" s="1776"/>
      <c r="M222" s="1776"/>
      <c r="N222" s="1776"/>
      <c r="O222" s="1776"/>
      <c r="P222" s="1776"/>
      <c r="Q222" s="1267"/>
      <c r="R222" s="349"/>
    </row>
    <row r="223" spans="3:18" ht="44.25" x14ac:dyDescent="0.2">
      <c r="C223" s="1248"/>
      <c r="D223" s="1249"/>
      <c r="E223" s="1249"/>
      <c r="F223" s="1250"/>
      <c r="G223" s="1232"/>
      <c r="H223" s="1232"/>
      <c r="I223" s="1233"/>
      <c r="J223" s="1234"/>
      <c r="K223" s="1262"/>
      <c r="L223" s="1262"/>
      <c r="M223" s="1776"/>
      <c r="N223" s="1776"/>
      <c r="O223" s="1776"/>
      <c r="P223" s="1776"/>
      <c r="Q223" s="1267"/>
      <c r="R223" s="349"/>
    </row>
    <row r="224" spans="3:18" ht="15.75" x14ac:dyDescent="0.2">
      <c r="C224" s="1248"/>
      <c r="D224" s="1249"/>
      <c r="E224" s="1249"/>
      <c r="F224" s="1250"/>
      <c r="G224" s="1232"/>
      <c r="H224" s="1232"/>
      <c r="I224" s="1233"/>
      <c r="J224" s="1234"/>
      <c r="K224" s="1776"/>
      <c r="L224" s="1776"/>
      <c r="M224" s="1776"/>
      <c r="N224" s="1776"/>
      <c r="O224" s="1776"/>
      <c r="P224" s="1776"/>
      <c r="Q224" s="1267"/>
      <c r="R224" s="349"/>
    </row>
    <row r="225" spans="3:18" ht="22.5" x14ac:dyDescent="0.2">
      <c r="C225" s="1248"/>
      <c r="D225" s="1251" t="s">
        <v>695</v>
      </c>
      <c r="E225" s="1232"/>
      <c r="F225" s="1232"/>
      <c r="G225" s="1232"/>
      <c r="H225" s="1232"/>
      <c r="I225" s="1233"/>
      <c r="J225" s="1234"/>
      <c r="K225" s="1773"/>
      <c r="L225" s="1773"/>
      <c r="M225" s="1773"/>
      <c r="N225" s="1773"/>
      <c r="O225" s="1773"/>
      <c r="P225" s="1773"/>
      <c r="Q225" s="1267"/>
      <c r="R225" s="349"/>
    </row>
    <row r="226" spans="3:18" ht="22.5" x14ac:dyDescent="0.2">
      <c r="C226" s="1248"/>
      <c r="D226" s="1251"/>
      <c r="E226" s="1232"/>
      <c r="F226" s="1348" t="s">
        <v>733</v>
      </c>
      <c r="G226" s="1349"/>
      <c r="H226" s="1349"/>
      <c r="I226" s="1233"/>
      <c r="J226" s="1234"/>
      <c r="K226" s="1773"/>
      <c r="L226" s="1773"/>
      <c r="M226" s="1773"/>
      <c r="N226" s="1773"/>
      <c r="O226" s="1773"/>
      <c r="P226" s="1773"/>
      <c r="Q226" s="1267"/>
      <c r="R226" s="349"/>
    </row>
    <row r="227" spans="3:18" ht="15" x14ac:dyDescent="0.2">
      <c r="C227" s="1248"/>
      <c r="D227" s="1249"/>
      <c r="E227" s="1232"/>
      <c r="F227" s="1250" t="s">
        <v>734</v>
      </c>
      <c r="G227" s="1232"/>
      <c r="H227" s="1232"/>
      <c r="I227" s="1233"/>
      <c r="J227" s="1234"/>
      <c r="K227" s="1773"/>
      <c r="L227" s="1773"/>
      <c r="M227" s="1773"/>
      <c r="N227" s="1773"/>
      <c r="O227" s="1773"/>
      <c r="P227" s="1773"/>
      <c r="Q227" s="1267"/>
      <c r="R227" s="349"/>
    </row>
    <row r="228" spans="3:18" ht="14.25" x14ac:dyDescent="0.2">
      <c r="C228" s="1248"/>
      <c r="D228" s="1232"/>
      <c r="E228" s="1232"/>
      <c r="F228" s="1250" t="s">
        <v>732</v>
      </c>
      <c r="G228" s="1232"/>
      <c r="H228" s="1232"/>
      <c r="I228" s="1233"/>
      <c r="J228" s="1234"/>
      <c r="K228" s="1773"/>
      <c r="L228" s="1773"/>
      <c r="M228" s="1773"/>
      <c r="N228" s="1773"/>
      <c r="O228" s="1773"/>
      <c r="P228" s="1773"/>
      <c r="Q228" s="1267"/>
      <c r="R228" s="349"/>
    </row>
    <row r="229" spans="3:18" ht="23.25" x14ac:dyDescent="0.2">
      <c r="C229" s="1248"/>
      <c r="D229" s="1232"/>
      <c r="E229" s="1249"/>
      <c r="F229" s="1232"/>
      <c r="G229" s="1271">
        <v>40</v>
      </c>
      <c r="H229" s="1271"/>
      <c r="I229" s="1272" t="s">
        <v>961</v>
      </c>
      <c r="J229" s="1234"/>
      <c r="K229" s="1786">
        <f>K204-K206-K207-K208-K209-K211-(K210*$G$229)/100</f>
        <v>105.67660018333312</v>
      </c>
      <c r="L229" s="1786"/>
      <c r="M229" s="1786">
        <f>M204-M206-M207-M208-M209-M211-(M210*$G$229)/100</f>
        <v>390.97940264999914</v>
      </c>
      <c r="N229" s="1786"/>
      <c r="O229" s="1786">
        <f>O204-O206-O207-O208-O209-O211-(O210*$G$229)/100</f>
        <v>675.3148771166658</v>
      </c>
      <c r="P229" s="1777"/>
      <c r="Q229" s="1268"/>
      <c r="R229" s="349" t="s">
        <v>730</v>
      </c>
    </row>
    <row r="230" spans="3:18" x14ac:dyDescent="0.2">
      <c r="C230" s="1252"/>
      <c r="D230" s="1253"/>
      <c r="E230" s="1254" t="str">
        <f>"(z.B.hier: " &amp;G229&amp;" %  der gesamten Quote werden auf  "&amp;Stammdaten!P55&amp; "  Jahre (!)abgeschrieben und verzinst)"</f>
        <v>(z.B.hier: 40 %  der gesamten Quote werden auf  0  Jahre (!)abgeschrieben und verzinst)</v>
      </c>
      <c r="F230" s="1253"/>
      <c r="G230" s="1253"/>
      <c r="H230" s="1253"/>
      <c r="I230" s="1255"/>
      <c r="J230" s="1256"/>
      <c r="K230" s="1778"/>
      <c r="L230" s="1778"/>
      <c r="M230" s="1778"/>
      <c r="N230" s="1778"/>
      <c r="O230" s="1778"/>
      <c r="P230" s="1778"/>
      <c r="Q230" s="1273"/>
      <c r="R230" s="309"/>
    </row>
    <row r="231" spans="3:18" x14ac:dyDescent="0.2">
      <c r="C231" s="1257"/>
      <c r="D231" s="1257"/>
      <c r="E231" s="1257"/>
      <c r="F231" s="1257"/>
      <c r="G231" s="1257"/>
      <c r="H231" s="1257"/>
      <c r="I231" s="1257"/>
      <c r="J231" s="1257"/>
      <c r="K231" s="1779"/>
      <c r="L231" s="1779"/>
      <c r="M231" s="1779"/>
      <c r="N231" s="1779"/>
      <c r="O231" s="1779"/>
      <c r="P231" s="1779"/>
      <c r="R231" s="534" t="s">
        <v>746</v>
      </c>
    </row>
    <row r="232" spans="3:18" ht="24.75" x14ac:dyDescent="0.2">
      <c r="C232" s="1258"/>
      <c r="D232" s="1343" t="s">
        <v>685</v>
      </c>
      <c r="E232" s="1259"/>
      <c r="F232" s="1259"/>
      <c r="G232" s="1259" t="s">
        <v>693</v>
      </c>
      <c r="H232" s="1259"/>
      <c r="I232" s="1260"/>
      <c r="J232" s="1260"/>
      <c r="K232" s="1799">
        <f>K229/K34</f>
        <v>2.3483688929629585</v>
      </c>
      <c r="L232" s="1799"/>
      <c r="M232" s="1800">
        <f>M229/M34</f>
        <v>8.3187106946808331</v>
      </c>
      <c r="N232" s="1800"/>
      <c r="O232" s="1799">
        <f>O229/O34</f>
        <v>13.781936267687056</v>
      </c>
      <c r="P232" s="1800"/>
      <c r="R232" s="534" t="s">
        <v>747</v>
      </c>
    </row>
    <row r="233" spans="3:18" ht="44.25" x14ac:dyDescent="0.2">
      <c r="C233" s="1217"/>
      <c r="D233" s="1263" t="s">
        <v>697</v>
      </c>
      <c r="E233" s="1218"/>
      <c r="F233" s="1218"/>
      <c r="G233" s="1218"/>
      <c r="H233" s="1218"/>
      <c r="I233" s="1219"/>
      <c r="J233" s="1219"/>
      <c r="K233" s="1264" t="str">
        <f>IF(K232&lt;0,"N",IF(K232&lt;Stammdaten!$P$39,"L",IF(K232&gt;Stammdaten!$P$39,"J",)))</f>
        <v>L</v>
      </c>
      <c r="L233" s="1264"/>
      <c r="M233" s="1264" t="str">
        <f>IF(M232&lt;0,"N",IF(M232&lt;Stammdaten!$P$39,"L",IF(M232&gt;Stammdaten!$P$39,"J",)))</f>
        <v>L</v>
      </c>
      <c r="N233" s="1264"/>
      <c r="O233" s="1264" t="str">
        <f>IF(O232&lt;0,"N",IF(O232&lt;Stammdaten!$P$39,"L",IF(O232&gt;Stammdaten!$P$39,"J",)))</f>
        <v>L</v>
      </c>
      <c r="P233" s="1264"/>
      <c r="R233" s="1193"/>
    </row>
    <row r="234" spans="3:18" ht="44.25" x14ac:dyDescent="0.2">
      <c r="C234" s="1217"/>
      <c r="D234" s="1218"/>
      <c r="E234" s="1218"/>
      <c r="F234" s="1218"/>
      <c r="G234" s="1218"/>
      <c r="H234" s="1218"/>
      <c r="I234" s="1219"/>
      <c r="J234" s="1220"/>
      <c r="K234" s="1265" t="str">
        <f>IF(K232&lt;0,"U",IF(K232&lt;Stammdaten!$P$39,"F",IF(K232&gt;Stammdaten!$P$39,"J",)))</f>
        <v>F</v>
      </c>
      <c r="L234" s="1265"/>
      <c r="M234" s="1265" t="str">
        <f>IF(M232&lt;0,"U",IF(M232&lt;Stammdaten!$P$39,"F",IF(M232&gt;Stammdaten!$P$39,"J",)))</f>
        <v>F</v>
      </c>
      <c r="N234" s="1265"/>
      <c r="O234" s="1265" t="str">
        <f>IF(O232&lt;0,"U",IF(O232&lt;Stammdaten!$P$39,"F",IF(O232&gt;Stammdaten!$P$39,"J",)))</f>
        <v>F</v>
      </c>
      <c r="P234" s="1265"/>
      <c r="R234" s="1193"/>
    </row>
    <row r="235" spans="3:18" x14ac:dyDescent="0.2">
      <c r="R235" s="1193"/>
    </row>
    <row r="238" spans="3:18" x14ac:dyDescent="0.2">
      <c r="E238" s="3" t="s">
        <v>768</v>
      </c>
    </row>
    <row r="240" spans="3:18" x14ac:dyDescent="0.2">
      <c r="I240" s="84" t="s">
        <v>776</v>
      </c>
    </row>
    <row r="242" spans="5:11" x14ac:dyDescent="0.2">
      <c r="E242" s="3" t="s">
        <v>103</v>
      </c>
      <c r="I242" s="84">
        <v>39.97</v>
      </c>
    </row>
    <row r="243" spans="5:11" x14ac:dyDescent="0.2">
      <c r="E243" s="3" t="s">
        <v>769</v>
      </c>
      <c r="I243" s="84">
        <v>20.440000000000001</v>
      </c>
    </row>
    <row r="244" spans="5:11" x14ac:dyDescent="0.2">
      <c r="E244" s="3" t="s">
        <v>770</v>
      </c>
      <c r="I244" s="84">
        <v>18.53</v>
      </c>
    </row>
    <row r="245" spans="5:11" x14ac:dyDescent="0.2">
      <c r="E245" s="3" t="s">
        <v>772</v>
      </c>
      <c r="I245" s="84">
        <v>12.45</v>
      </c>
    </row>
    <row r="246" spans="5:11" x14ac:dyDescent="0.2">
      <c r="E246" s="3" t="s">
        <v>773</v>
      </c>
      <c r="I246" s="84">
        <v>4.87</v>
      </c>
      <c r="K246" s="1192" t="s">
        <v>777</v>
      </c>
    </row>
    <row r="247" spans="5:11" x14ac:dyDescent="0.2">
      <c r="E247" s="3" t="s">
        <v>774</v>
      </c>
      <c r="I247" s="84">
        <v>2.48</v>
      </c>
    </row>
    <row r="248" spans="5:11" x14ac:dyDescent="0.2">
      <c r="E248" s="3" t="s">
        <v>775</v>
      </c>
      <c r="I248" s="84">
        <v>1.75</v>
      </c>
    </row>
  </sheetData>
  <mergeCells count="17">
    <mergeCell ref="AB29:AC29"/>
    <mergeCell ref="B26:B30"/>
    <mergeCell ref="B17:B23"/>
    <mergeCell ref="M8:N8"/>
    <mergeCell ref="X29:Y29"/>
    <mergeCell ref="O8:P8"/>
    <mergeCell ref="B10:B14"/>
    <mergeCell ref="Z29:AA29"/>
    <mergeCell ref="B46:B69"/>
    <mergeCell ref="K6:L6"/>
    <mergeCell ref="K8:L8"/>
    <mergeCell ref="M6:N6"/>
    <mergeCell ref="O6:P6"/>
    <mergeCell ref="K7:L7"/>
    <mergeCell ref="M7:N7"/>
    <mergeCell ref="O7:P7"/>
    <mergeCell ref="B34:B41"/>
  </mergeCells>
  <phoneticPr fontId="0" type="noConversion"/>
  <conditionalFormatting sqref="K233:P234">
    <cfRule type="expression" dxfId="2" priority="5" stopIfTrue="1">
      <formula>K232&lt;0</formula>
    </cfRule>
  </conditionalFormatting>
  <hyperlinks>
    <hyperlink ref="E198" location="D51" display="L"/>
  </hyperlinks>
  <printOptions horizontalCentered="1"/>
  <pageMargins left="0.39370078740157483" right="0.39370078740157483" top="0.47244094488188981" bottom="0.55118110236220474" header="0.19685039370078741" footer="0.35433070866141736"/>
  <pageSetup paperSize="9" scale="63" firstPageNumber="15" orientation="portrait" useFirstPageNumber="1" r:id="rId1"/>
  <headerFooter alignWithMargins="0">
    <oddFooter xml:space="preserve">&amp;LLEL Schwäbisch Gmünd
&amp;D&amp;C&amp;"Arial,Fett"&amp;12&amp;P&amp;RKalkulationsdaten Milchviehhaltung;
&amp;F  &amp;A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9" tint="-0.249977111117893"/>
  </sheetPr>
  <dimension ref="A1:U145"/>
  <sheetViews>
    <sheetView showGridLines="0" topLeftCell="A25" zoomScaleNormal="100" workbookViewId="0">
      <selection activeCell="Q14" sqref="Q14"/>
    </sheetView>
  </sheetViews>
  <sheetFormatPr baseColWidth="10" defaultColWidth="6.28515625" defaultRowHeight="23.25" x14ac:dyDescent="0.2"/>
  <cols>
    <col min="1" max="1" width="1.85546875" style="301" customWidth="1"/>
    <col min="2" max="2" width="1.7109375" style="301" customWidth="1"/>
    <col min="3" max="4" width="6.28515625" style="301" customWidth="1"/>
    <col min="5" max="5" width="11.140625" style="301" customWidth="1"/>
    <col min="6" max="6" width="3.85546875" style="301" customWidth="1"/>
    <col min="7" max="7" width="4" style="301" customWidth="1"/>
    <col min="8" max="11" width="6.28515625" style="301" customWidth="1"/>
    <col min="12" max="12" width="6.140625" style="301" customWidth="1"/>
    <col min="13" max="13" width="7" style="301" customWidth="1"/>
    <col min="14" max="14" width="2.28515625" style="301" customWidth="1"/>
    <col min="15" max="15" width="6.28515625" style="301" customWidth="1"/>
    <col min="16" max="16" width="8.7109375" style="301" customWidth="1"/>
    <col min="17" max="19" width="13.7109375" style="301" customWidth="1"/>
    <col min="20" max="20" width="1.42578125" style="301" customWidth="1"/>
    <col min="21" max="21" width="2.85546875" style="301" customWidth="1"/>
    <col min="22" max="16384" width="6.28515625" style="301"/>
  </cols>
  <sheetData>
    <row r="1" spans="1:21" ht="22.15" customHeight="1" x14ac:dyDescent="0.2">
      <c r="A1" s="2503"/>
      <c r="B1" s="2503"/>
      <c r="C1" s="2503"/>
      <c r="D1" s="2503"/>
      <c r="E1" s="2503"/>
      <c r="F1" s="2503"/>
      <c r="G1" s="2503"/>
      <c r="H1" s="2503"/>
      <c r="I1" s="2503"/>
      <c r="J1" s="2503"/>
      <c r="K1" s="2503"/>
      <c r="L1" s="2503"/>
      <c r="M1" s="2503"/>
      <c r="N1" s="2503"/>
      <c r="O1" s="2503"/>
      <c r="P1" s="2503"/>
      <c r="Q1" s="2503"/>
      <c r="R1" s="2503"/>
      <c r="S1" s="2503"/>
      <c r="T1" s="2503"/>
      <c r="U1" s="2503"/>
    </row>
    <row r="2" spans="1:21" ht="5.25" customHeight="1" x14ac:dyDescent="0.2">
      <c r="A2" s="2503"/>
      <c r="Q2" s="306"/>
      <c r="R2" s="306"/>
      <c r="S2" s="306"/>
      <c r="T2" s="306"/>
      <c r="U2" s="2503"/>
    </row>
    <row r="3" spans="1:21" ht="30.2" customHeight="1" x14ac:dyDescent="0.2">
      <c r="A3" s="2503"/>
      <c r="B3" s="3075"/>
      <c r="C3" s="3076" t="s">
        <v>94</v>
      </c>
      <c r="D3" s="3076" t="s">
        <v>57</v>
      </c>
      <c r="E3" s="3077"/>
      <c r="F3" s="3077"/>
      <c r="G3" s="3077"/>
      <c r="H3" s="3077"/>
      <c r="I3" s="3077"/>
      <c r="J3" s="3077"/>
      <c r="K3" s="3077"/>
      <c r="L3" s="3077"/>
      <c r="M3" s="3077"/>
      <c r="N3" s="3077"/>
      <c r="O3" s="3077"/>
      <c r="P3" s="3077"/>
      <c r="Q3" s="3078"/>
      <c r="R3" s="3079"/>
      <c r="S3" s="3080" t="str">
        <f>'FlV(b)'!P2</f>
        <v>Milchkuh; Fleckvieh</v>
      </c>
      <c r="T3" s="3807"/>
      <c r="U3" s="2503"/>
    </row>
    <row r="4" spans="1:21" x14ac:dyDescent="0.2">
      <c r="A4" s="2503"/>
      <c r="B4" s="3081"/>
      <c r="C4" s="3082" t="s">
        <v>95</v>
      </c>
      <c r="D4" s="3082" t="s">
        <v>96</v>
      </c>
      <c r="E4" s="3083"/>
      <c r="F4" s="3083"/>
      <c r="G4" s="3083"/>
      <c r="H4" s="3083"/>
      <c r="I4" s="3083"/>
      <c r="J4" s="3083"/>
      <c r="K4" s="3083"/>
      <c r="L4" s="3083"/>
      <c r="M4" s="3083"/>
      <c r="N4" s="3083"/>
      <c r="O4" s="3083"/>
      <c r="P4" s="3083"/>
      <c r="Q4" s="3084" t="s">
        <v>97</v>
      </c>
      <c r="R4" s="3085"/>
      <c r="S4" s="3086">
        <f>'FlV(b)'!P4</f>
        <v>2022</v>
      </c>
      <c r="T4" s="3808"/>
      <c r="U4" s="2503"/>
    </row>
    <row r="5" spans="1:21" s="4" customFormat="1" ht="12.2" customHeight="1" x14ac:dyDescent="0.2">
      <c r="A5" s="2503"/>
      <c r="B5" s="323"/>
      <c r="C5" s="20"/>
      <c r="D5" s="20"/>
      <c r="E5" s="20"/>
      <c r="F5" s="20"/>
      <c r="G5" s="20"/>
      <c r="H5" s="20"/>
      <c r="I5" s="20"/>
      <c r="J5" s="20"/>
      <c r="K5" s="20"/>
      <c r="L5" s="20"/>
      <c r="M5" s="20"/>
      <c r="N5" s="20"/>
      <c r="O5" s="20"/>
      <c r="P5" s="20"/>
      <c r="Q5" s="20"/>
      <c r="R5" s="20"/>
      <c r="S5" s="20"/>
      <c r="T5" s="309"/>
      <c r="U5" s="2503"/>
    </row>
    <row r="6" spans="1:21" ht="30.2" customHeight="1" x14ac:dyDescent="0.2">
      <c r="A6" s="2503"/>
      <c r="B6" s="898"/>
      <c r="C6" s="899" t="s">
        <v>1077</v>
      </c>
      <c r="D6" s="900"/>
      <c r="E6" s="900"/>
      <c r="F6" s="900"/>
      <c r="G6" s="900"/>
      <c r="H6" s="900"/>
      <c r="I6" s="900"/>
      <c r="J6" s="900"/>
      <c r="K6" s="900"/>
      <c r="L6" s="900"/>
      <c r="M6" s="900"/>
      <c r="N6" s="900"/>
      <c r="O6" s="901" t="s">
        <v>98</v>
      </c>
      <c r="P6" s="902"/>
      <c r="Q6" s="903">
        <f>'FlV(b)'!K7</f>
        <v>6500</v>
      </c>
      <c r="R6" s="903">
        <f>'FlV(b)'!M7</f>
        <v>7500</v>
      </c>
      <c r="S6" s="903">
        <f>'FlV(b)'!O7</f>
        <v>8500</v>
      </c>
      <c r="T6" s="902"/>
      <c r="U6" s="2503"/>
    </row>
    <row r="7" spans="1:21" ht="30.2" customHeight="1" x14ac:dyDescent="0.2">
      <c r="A7" s="2503"/>
      <c r="B7" s="904"/>
      <c r="C7" s="905" t="str">
        <f>IF(Stammdaten!S7=1,"Milchpreis (ohne Mwst.)","Milchpreis  (inkl. Mwst. )")</f>
        <v>Milchpreis  (inkl. Mwst. )</v>
      </c>
      <c r="D7" s="906"/>
      <c r="E7" s="906"/>
      <c r="F7" s="906"/>
      <c r="G7" s="906"/>
      <c r="H7" s="906"/>
      <c r="I7" s="906"/>
      <c r="J7" s="906"/>
      <c r="K7" s="906"/>
      <c r="L7" s="906"/>
      <c r="M7" s="906"/>
      <c r="N7" s="906"/>
      <c r="O7" s="904" t="s">
        <v>99</v>
      </c>
      <c r="P7" s="907"/>
      <c r="Q7" s="912">
        <f>'FlV(b)'!K8</f>
        <v>0.45442499999999997</v>
      </c>
      <c r="R7" s="912">
        <f>'FlV(b)'!M8</f>
        <v>0.45442499999999997</v>
      </c>
      <c r="S7" s="912">
        <f>'FlV(b)'!O8</f>
        <v>0.45442499999999997</v>
      </c>
      <c r="T7" s="907"/>
      <c r="U7" s="2503"/>
    </row>
    <row r="8" spans="1:21" ht="15" customHeight="1" x14ac:dyDescent="0.2">
      <c r="A8" s="2503"/>
      <c r="B8" s="315"/>
      <c r="C8" s="331"/>
      <c r="D8" s="331"/>
      <c r="E8" s="331"/>
      <c r="F8" s="331"/>
      <c r="G8" s="331"/>
      <c r="H8" s="331"/>
      <c r="I8" s="331"/>
      <c r="J8" s="331"/>
      <c r="K8" s="331"/>
      <c r="L8" s="331"/>
      <c r="M8" s="331"/>
      <c r="N8" s="331"/>
      <c r="O8" s="315"/>
      <c r="P8" s="317"/>
      <c r="Q8" s="331"/>
      <c r="R8" s="331"/>
      <c r="S8" s="331"/>
      <c r="T8" s="336"/>
      <c r="U8" s="2503"/>
    </row>
    <row r="9" spans="1:21" ht="30.2" customHeight="1" x14ac:dyDescent="0.2">
      <c r="A9" s="2503"/>
      <c r="B9" s="302"/>
      <c r="C9" s="303" t="s">
        <v>100</v>
      </c>
      <c r="D9" s="303"/>
      <c r="E9" s="303"/>
      <c r="F9" s="303"/>
      <c r="G9" s="303"/>
      <c r="H9" s="303"/>
      <c r="I9" s="303"/>
      <c r="J9" s="303"/>
      <c r="K9" s="303"/>
      <c r="L9" s="303"/>
      <c r="M9" s="303"/>
      <c r="N9" s="303"/>
      <c r="O9" s="302" t="s">
        <v>101</v>
      </c>
      <c r="P9" s="304"/>
      <c r="Q9" s="332">
        <f>'FlV(b)'!K10</f>
        <v>2953.7624999999998</v>
      </c>
      <c r="R9" s="332">
        <f>'FlV(b)'!M10</f>
        <v>3408.1874999999995</v>
      </c>
      <c r="S9" s="332">
        <f>'FlV(b)'!O10</f>
        <v>3862.6124999999997</v>
      </c>
      <c r="T9" s="300"/>
      <c r="U9" s="2503"/>
    </row>
    <row r="10" spans="1:21" ht="30.2" customHeight="1" x14ac:dyDescent="0.2">
      <c r="A10" s="2503"/>
      <c r="B10" s="302"/>
      <c r="C10" s="303" t="s">
        <v>102</v>
      </c>
      <c r="D10" s="303"/>
      <c r="E10" s="303"/>
      <c r="F10" s="303"/>
      <c r="G10" s="303"/>
      <c r="H10" s="303"/>
      <c r="I10" s="303"/>
      <c r="J10" s="303"/>
      <c r="K10" s="303"/>
      <c r="L10" s="303"/>
      <c r="M10" s="303"/>
      <c r="N10" s="303"/>
      <c r="O10" s="302"/>
      <c r="P10" s="304"/>
      <c r="Q10" s="332">
        <f>'FlV(b)'!K11+'FlV(b)'!K12+'FlV(b)'!K13+'FlV(b)'!K27</f>
        <v>1131.9604416666666</v>
      </c>
      <c r="R10" s="332">
        <f>'FlV(b)'!M11+'FlV(b)'!M12+'FlV(b)'!M13+'FlV(b)'!M27</f>
        <v>1139.2501833333333</v>
      </c>
      <c r="S10" s="332">
        <f>'FlV(b)'!O11+'FlV(b)'!O12+'FlV(b)'!O13+'FlV(b)'!O27</f>
        <v>1146.539925</v>
      </c>
      <c r="T10" s="300"/>
      <c r="U10" s="2503"/>
    </row>
    <row r="11" spans="1:21" ht="36" customHeight="1" x14ac:dyDescent="0.2">
      <c r="A11" s="2503"/>
      <c r="B11" s="316"/>
      <c r="C11" s="313" t="s">
        <v>103</v>
      </c>
      <c r="D11" s="306"/>
      <c r="E11" s="306"/>
      <c r="F11" s="306"/>
      <c r="G11" s="306"/>
      <c r="H11" s="306"/>
      <c r="I11" s="306"/>
      <c r="J11" s="306"/>
      <c r="K11" s="306"/>
      <c r="L11" s="306"/>
      <c r="M11" s="306"/>
      <c r="N11" s="306"/>
      <c r="O11" s="316"/>
      <c r="P11" s="320"/>
      <c r="Q11" s="335">
        <f>Q9+Q10</f>
        <v>4085.7229416666664</v>
      </c>
      <c r="R11" s="335">
        <f>R9+R10</f>
        <v>4547.4376833333326</v>
      </c>
      <c r="S11" s="335">
        <f>S9+S10</f>
        <v>5009.1524250000002</v>
      </c>
      <c r="T11" s="25"/>
      <c r="U11" s="2503"/>
    </row>
    <row r="12" spans="1:21" ht="30.2" customHeight="1" x14ac:dyDescent="0.2">
      <c r="A12" s="2503"/>
      <c r="B12" s="302"/>
      <c r="C12" s="303" t="s">
        <v>1086</v>
      </c>
      <c r="D12" s="303"/>
      <c r="E12" s="303"/>
      <c r="F12" s="303"/>
      <c r="G12" s="303"/>
      <c r="H12" s="303"/>
      <c r="I12" s="303"/>
      <c r="J12" s="303"/>
      <c r="K12" s="303"/>
      <c r="L12" s="303"/>
      <c r="M12" s="303"/>
      <c r="N12" s="303"/>
      <c r="O12" s="302"/>
      <c r="P12" s="304"/>
      <c r="Q12" s="332">
        <f>'FlV(b)'!K17</f>
        <v>657</v>
      </c>
      <c r="R12" s="332">
        <f>'FlV(b)'!M17</f>
        <v>657</v>
      </c>
      <c r="S12" s="332">
        <f>'FlV(b)'!O17</f>
        <v>657</v>
      </c>
      <c r="T12" s="300"/>
      <c r="U12" s="2503"/>
    </row>
    <row r="13" spans="1:21" ht="30.2" customHeight="1" x14ac:dyDescent="0.2">
      <c r="A13" s="2503"/>
      <c r="B13" s="302"/>
      <c r="C13" s="303" t="s">
        <v>104</v>
      </c>
      <c r="D13" s="303"/>
      <c r="E13" s="303"/>
      <c r="F13" s="303"/>
      <c r="G13" s="303"/>
      <c r="H13" s="303"/>
      <c r="I13" s="303"/>
      <c r="J13" s="303"/>
      <c r="K13" s="303"/>
      <c r="L13" s="303"/>
      <c r="M13" s="303"/>
      <c r="N13" s="303"/>
      <c r="O13" s="302"/>
      <c r="P13" s="304"/>
      <c r="Q13" s="332">
        <f>'FlV(b)'!K18</f>
        <v>762.05850000000009</v>
      </c>
      <c r="R13" s="332">
        <f>'FlV(b)'!M18</f>
        <v>811.29100000000017</v>
      </c>
      <c r="S13" s="332">
        <f>'FlV(b)'!O18</f>
        <v>860.52350000000013</v>
      </c>
      <c r="T13" s="300"/>
      <c r="U13" s="2503"/>
    </row>
    <row r="14" spans="1:21" ht="30.2" customHeight="1" x14ac:dyDescent="0.2">
      <c r="A14" s="2503"/>
      <c r="B14" s="302"/>
      <c r="C14" s="303" t="s">
        <v>139</v>
      </c>
      <c r="D14" s="303"/>
      <c r="E14" s="303"/>
      <c r="F14" s="303"/>
      <c r="G14" s="303"/>
      <c r="H14" s="303"/>
      <c r="I14" s="303"/>
      <c r="J14" s="303"/>
      <c r="K14" s="303"/>
      <c r="L14" s="303"/>
      <c r="M14" s="303"/>
      <c r="N14" s="303"/>
      <c r="O14" s="302"/>
      <c r="P14" s="304"/>
      <c r="Q14" s="332">
        <f>'FlV(b)'!K19+'FlV(b)'!K20+'FlV(b)'!K22+'FlV(b)'!K21+'FlV(b)'!K28</f>
        <v>613.14984439166665</v>
      </c>
      <c r="R14" s="332">
        <f>'FlV(b)'!M19+'FlV(b)'!M20+'FlV(b)'!M22+'FlV(b)'!M21+'FlV(b)'!M28</f>
        <v>637.39089599166664</v>
      </c>
      <c r="S14" s="332">
        <f>'FlV(b)'!O19+'FlV(b)'!O20+'FlV(b)'!O22+'FlV(b)'!O21+'FlV(b)'!O28</f>
        <v>682.01444759166668</v>
      </c>
      <c r="T14" s="300"/>
      <c r="U14" s="2503"/>
    </row>
    <row r="15" spans="1:21" ht="36" customHeight="1" x14ac:dyDescent="0.2">
      <c r="A15" s="2503"/>
      <c r="B15" s="316"/>
      <c r="C15" s="313" t="s">
        <v>105</v>
      </c>
      <c r="D15" s="306"/>
      <c r="E15" s="306"/>
      <c r="F15" s="306"/>
      <c r="G15" s="306"/>
      <c r="H15" s="306"/>
      <c r="I15" s="306"/>
      <c r="J15" s="306"/>
      <c r="K15" s="306"/>
      <c r="L15" s="306"/>
      <c r="M15" s="306"/>
      <c r="N15" s="306"/>
      <c r="O15" s="316"/>
      <c r="P15" s="320"/>
      <c r="Q15" s="335">
        <f>SUM(Q12:Q14)</f>
        <v>2032.2083443916667</v>
      </c>
      <c r="R15" s="335">
        <f>SUM(R12:R14)</f>
        <v>2105.6818959916668</v>
      </c>
      <c r="S15" s="335">
        <f>SUM(S12:S14)</f>
        <v>2199.537947591667</v>
      </c>
      <c r="T15" s="25"/>
      <c r="U15" s="2503"/>
    </row>
    <row r="16" spans="1:21" ht="39.75" customHeight="1" x14ac:dyDescent="0.2">
      <c r="A16" s="2503"/>
      <c r="B16" s="315"/>
      <c r="C16" s="337" t="s">
        <v>905</v>
      </c>
      <c r="D16" s="331"/>
      <c r="E16" s="331"/>
      <c r="F16" s="331"/>
      <c r="G16" s="331"/>
      <c r="H16" s="331"/>
      <c r="I16" s="331"/>
      <c r="J16" s="331"/>
      <c r="K16" s="331"/>
      <c r="L16" s="331"/>
      <c r="M16" s="331"/>
      <c r="N16" s="331"/>
      <c r="O16" s="315"/>
      <c r="P16" s="317"/>
      <c r="Q16" s="338">
        <f>Q11-Q15</f>
        <v>2053.5145972749997</v>
      </c>
      <c r="R16" s="338">
        <f>R11-R15</f>
        <v>2441.7557873416658</v>
      </c>
      <c r="S16" s="338">
        <f>S11-S15</f>
        <v>2809.6144774083332</v>
      </c>
      <c r="T16" s="336"/>
      <c r="U16" s="2503"/>
    </row>
    <row r="17" spans="1:21" ht="24" customHeight="1" x14ac:dyDescent="0.2">
      <c r="A17" s="2503"/>
      <c r="B17" s="302"/>
      <c r="C17" s="303" t="s">
        <v>626</v>
      </c>
      <c r="D17" s="303"/>
      <c r="E17" s="303"/>
      <c r="F17" s="303"/>
      <c r="G17" s="303"/>
      <c r="H17" s="303"/>
      <c r="I17" s="303"/>
      <c r="J17" s="303"/>
      <c r="K17" s="303"/>
      <c r="L17" s="303"/>
      <c r="M17" s="303"/>
      <c r="N17" s="303"/>
      <c r="O17" s="302"/>
      <c r="P17" s="304"/>
      <c r="Q17" s="332">
        <f>'FlV(b)'!K31</f>
        <v>1027.2901902999999</v>
      </c>
      <c r="R17" s="332">
        <f>'FlV(b)'!M31</f>
        <v>1115.4460778999999</v>
      </c>
      <c r="S17" s="332">
        <f>'FlV(b)'!O31</f>
        <v>1198.9692935000003</v>
      </c>
      <c r="T17" s="304"/>
      <c r="U17" s="2503"/>
    </row>
    <row r="18" spans="1:21" ht="30.75" customHeight="1" x14ac:dyDescent="0.2">
      <c r="A18" s="2503"/>
      <c r="B18" s="316"/>
      <c r="C18" s="314" t="s">
        <v>906</v>
      </c>
      <c r="D18" s="306"/>
      <c r="E18" s="306"/>
      <c r="F18" s="306"/>
      <c r="G18" s="306"/>
      <c r="H18" s="306"/>
      <c r="I18" s="306"/>
      <c r="J18" s="306"/>
      <c r="K18" s="306"/>
      <c r="L18" s="306"/>
      <c r="M18" s="306"/>
      <c r="N18" s="306"/>
      <c r="O18" s="316"/>
      <c r="P18" s="320"/>
      <c r="Q18" s="339">
        <f>Q16-Q17</f>
        <v>1026.2244069749997</v>
      </c>
      <c r="R18" s="339">
        <f>R16-R17</f>
        <v>1326.309709441666</v>
      </c>
      <c r="S18" s="339">
        <f>S16-S17</f>
        <v>1610.6451839083329</v>
      </c>
      <c r="T18" s="320"/>
      <c r="U18" s="2503"/>
    </row>
    <row r="19" spans="1:21" ht="15" customHeight="1" x14ac:dyDescent="0.2">
      <c r="A19" s="2503"/>
      <c r="U19" s="2503"/>
    </row>
    <row r="20" spans="1:21" ht="12.2" customHeight="1" x14ac:dyDescent="0.2">
      <c r="A20" s="2503"/>
      <c r="U20" s="2503"/>
    </row>
    <row r="21" spans="1:21" ht="28.5" customHeight="1" x14ac:dyDescent="0.2">
      <c r="A21" s="2503"/>
      <c r="B21" s="3075"/>
      <c r="C21" s="3087" t="s">
        <v>131</v>
      </c>
      <c r="D21" s="3088" t="s">
        <v>57</v>
      </c>
      <c r="E21" s="3089"/>
      <c r="F21" s="3089"/>
      <c r="G21" s="3089"/>
      <c r="H21" s="3089"/>
      <c r="I21" s="3089"/>
      <c r="J21" s="3089"/>
      <c r="K21" s="3089"/>
      <c r="L21" s="3089"/>
      <c r="M21" s="3089"/>
      <c r="N21" s="3089"/>
      <c r="O21" s="3089"/>
      <c r="P21" s="3089"/>
      <c r="Q21" s="3090"/>
      <c r="R21" s="3091"/>
      <c r="S21" s="3092" t="str">
        <f>'FlV(b)'!P2</f>
        <v>Milchkuh; Fleckvieh</v>
      </c>
      <c r="T21" s="3807"/>
      <c r="U21" s="2503"/>
    </row>
    <row r="22" spans="1:21" ht="23.25" customHeight="1" x14ac:dyDescent="0.2">
      <c r="A22" s="2503"/>
      <c r="B22" s="3081"/>
      <c r="C22" s="3093" t="s">
        <v>95</v>
      </c>
      <c r="D22" s="3094" t="s">
        <v>132</v>
      </c>
      <c r="E22" s="3095"/>
      <c r="F22" s="3095"/>
      <c r="G22" s="3095"/>
      <c r="H22" s="3095"/>
      <c r="I22" s="3095"/>
      <c r="J22" s="3095"/>
      <c r="K22" s="3095"/>
      <c r="L22" s="3095"/>
      <c r="M22" s="3095"/>
      <c r="N22" s="3095"/>
      <c r="O22" s="3095"/>
      <c r="P22" s="3095"/>
      <c r="Q22" s="3096" t="str">
        <f>Q4</f>
        <v xml:space="preserve">  Kalenderjahr:</v>
      </c>
      <c r="R22" s="3097"/>
      <c r="S22" s="3098">
        <f>'FlV(b)'!P4</f>
        <v>2022</v>
      </c>
      <c r="T22" s="3808"/>
      <c r="U22" s="2503"/>
    </row>
    <row r="23" spans="1:21" s="4" customFormat="1" ht="12.75" x14ac:dyDescent="0.2">
      <c r="A23" s="2503"/>
      <c r="B23" s="323"/>
      <c r="C23" s="20"/>
      <c r="D23" s="20"/>
      <c r="E23" s="20"/>
      <c r="F23" s="20"/>
      <c r="G23" s="20"/>
      <c r="H23" s="20"/>
      <c r="I23" s="20"/>
      <c r="J23" s="20"/>
      <c r="K23" s="20"/>
      <c r="L23" s="20"/>
      <c r="M23" s="20"/>
      <c r="N23" s="20"/>
      <c r="O23" s="20"/>
      <c r="P23" s="20"/>
      <c r="Q23" s="20"/>
      <c r="R23" s="20"/>
      <c r="S23" s="20"/>
      <c r="T23" s="309"/>
      <c r="U23" s="2503"/>
    </row>
    <row r="24" spans="1:21" ht="30.2" customHeight="1" x14ac:dyDescent="0.2">
      <c r="A24" s="2503"/>
      <c r="B24" s="898"/>
      <c r="C24" s="899" t="s">
        <v>1077</v>
      </c>
      <c r="D24" s="900"/>
      <c r="E24" s="900"/>
      <c r="F24" s="900"/>
      <c r="G24" s="900"/>
      <c r="H24" s="900"/>
      <c r="I24" s="900"/>
      <c r="J24" s="900"/>
      <c r="K24" s="900"/>
      <c r="L24" s="900"/>
      <c r="M24" s="900"/>
      <c r="N24" s="900"/>
      <c r="O24" s="910" t="s">
        <v>98</v>
      </c>
      <c r="P24" s="902"/>
      <c r="Q24" s="903">
        <f>'FlV(b)'!K7</f>
        <v>6500</v>
      </c>
      <c r="R24" s="903">
        <f>'FlV(b)'!M7</f>
        <v>7500</v>
      </c>
      <c r="S24" s="903">
        <f>'FlV(b)'!O7</f>
        <v>8500</v>
      </c>
      <c r="T24" s="902"/>
      <c r="U24" s="2503"/>
    </row>
    <row r="25" spans="1:21" ht="30.2" customHeight="1" x14ac:dyDescent="0.2">
      <c r="A25" s="2503"/>
      <c r="B25" s="904"/>
      <c r="C25" s="911" t="str">
        <f>C7</f>
        <v>Milchpreis  (inkl. Mwst. )</v>
      </c>
      <c r="D25" s="906"/>
      <c r="E25" s="906"/>
      <c r="F25" s="906"/>
      <c r="G25" s="906"/>
      <c r="H25" s="906"/>
      <c r="I25" s="906"/>
      <c r="J25" s="906"/>
      <c r="K25" s="906"/>
      <c r="L25" s="906"/>
      <c r="M25" s="906"/>
      <c r="N25" s="906"/>
      <c r="O25" s="904" t="s">
        <v>99</v>
      </c>
      <c r="P25" s="907"/>
      <c r="Q25" s="912">
        <f>'FlV(b)'!K8</f>
        <v>0.45442499999999997</v>
      </c>
      <c r="R25" s="912">
        <f>'FlV(b)'!M8</f>
        <v>0.45442499999999997</v>
      </c>
      <c r="S25" s="912">
        <f>'FlV(b)'!O8</f>
        <v>0.45442499999999997</v>
      </c>
      <c r="T25" s="907"/>
      <c r="U25" s="2503"/>
    </row>
    <row r="26" spans="1:21" ht="48.2" customHeight="1" x14ac:dyDescent="0.2">
      <c r="A26" s="2503"/>
      <c r="B26" s="340"/>
      <c r="C26" s="341" t="s">
        <v>253</v>
      </c>
      <c r="D26" s="342"/>
      <c r="E26" s="342"/>
      <c r="F26" s="342"/>
      <c r="G26" s="342"/>
      <c r="H26" s="342"/>
      <c r="I26" s="342"/>
      <c r="J26" s="342"/>
      <c r="K26" s="342"/>
      <c r="L26" s="342"/>
      <c r="M26" s="342"/>
      <c r="N26" s="342"/>
      <c r="O26" s="340" t="s">
        <v>101</v>
      </c>
      <c r="P26" s="344"/>
      <c r="Q26" s="343">
        <f>Q18</f>
        <v>1026.2244069749997</v>
      </c>
      <c r="R26" s="343">
        <f>R18</f>
        <v>1326.309709441666</v>
      </c>
      <c r="S26" s="343">
        <f>S18</f>
        <v>1610.6451839083329</v>
      </c>
      <c r="T26" s="344"/>
      <c r="U26" s="2503"/>
    </row>
    <row r="27" spans="1:21" ht="36" customHeight="1" x14ac:dyDescent="0.2">
      <c r="A27" s="2503"/>
      <c r="B27" s="315"/>
      <c r="C27" s="331" t="s">
        <v>47</v>
      </c>
      <c r="D27" s="331"/>
      <c r="E27" s="331"/>
      <c r="F27" s="331"/>
      <c r="G27" s="331"/>
      <c r="H27" s="331"/>
      <c r="I27" s="331"/>
      <c r="J27" s="331"/>
      <c r="K27" s="331"/>
      <c r="L27" s="331"/>
      <c r="M27" s="331"/>
      <c r="N27" s="331"/>
      <c r="O27" s="315"/>
      <c r="P27" s="317"/>
      <c r="Q27" s="354">
        <f>'FlV(b)'!K36</f>
        <v>787.5</v>
      </c>
      <c r="R27" s="354">
        <f>'FlV(b)'!M36</f>
        <v>822.5</v>
      </c>
      <c r="S27" s="354">
        <f>'FlV(b)'!O36</f>
        <v>857.5</v>
      </c>
      <c r="T27" s="317"/>
      <c r="U27" s="2503"/>
    </row>
    <row r="28" spans="1:21" ht="36" customHeight="1" x14ac:dyDescent="0.2">
      <c r="A28" s="2503"/>
      <c r="B28" s="302"/>
      <c r="C28" s="303" t="s">
        <v>144</v>
      </c>
      <c r="D28" s="303"/>
      <c r="E28" s="303"/>
      <c r="F28" s="303"/>
      <c r="G28" s="303"/>
      <c r="H28" s="303"/>
      <c r="I28" s="303"/>
      <c r="J28" s="303"/>
      <c r="K28" s="303"/>
      <c r="L28" s="303"/>
      <c r="M28" s="303"/>
      <c r="N28" s="303"/>
      <c r="O28" s="302"/>
      <c r="P28" s="304"/>
      <c r="Q28" s="332">
        <f>'FlV(b)'!K37+'FlV(b)'!K38</f>
        <v>751.73886666666658</v>
      </c>
      <c r="R28" s="332">
        <f>'FlV(b)'!M37+'FlV(b)'!M38</f>
        <v>751.73886666666658</v>
      </c>
      <c r="S28" s="332">
        <f>'FlV(b)'!O37+'FlV(b)'!O38</f>
        <v>751.73886666666658</v>
      </c>
      <c r="T28" s="304"/>
      <c r="U28" s="2503"/>
    </row>
    <row r="29" spans="1:21" ht="36" customHeight="1" x14ac:dyDescent="0.2">
      <c r="A29" s="2503"/>
      <c r="B29" s="302"/>
      <c r="C29" s="303" t="s">
        <v>81</v>
      </c>
      <c r="D29" s="303"/>
      <c r="E29" s="303"/>
      <c r="F29" s="303"/>
      <c r="G29" s="303"/>
      <c r="H29" s="303"/>
      <c r="I29" s="303"/>
      <c r="J29" s="303"/>
      <c r="K29" s="303"/>
      <c r="L29" s="303"/>
      <c r="M29" s="303"/>
      <c r="N29" s="303"/>
      <c r="O29" s="302"/>
      <c r="P29" s="304"/>
      <c r="Q29" s="332">
        <f>'FlV(b)'!K39</f>
        <v>93.12939999999999</v>
      </c>
      <c r="R29" s="332">
        <f>'FlV(b)'!M39</f>
        <v>93.12939999999999</v>
      </c>
      <c r="S29" s="332">
        <f>'FlV(b)'!O39</f>
        <v>93.12939999999999</v>
      </c>
      <c r="T29" s="304"/>
      <c r="U29" s="2503"/>
    </row>
    <row r="30" spans="1:21" ht="36" customHeight="1" x14ac:dyDescent="0.2">
      <c r="A30" s="2503"/>
      <c r="B30" s="302"/>
      <c r="C30" s="303" t="s">
        <v>895</v>
      </c>
      <c r="D30" s="303"/>
      <c r="E30" s="303"/>
      <c r="F30" s="303"/>
      <c r="G30" s="303"/>
      <c r="H30" s="303"/>
      <c r="I30" s="303"/>
      <c r="J30" s="303"/>
      <c r="K30" s="303"/>
      <c r="L30" s="303"/>
      <c r="M30" s="303"/>
      <c r="N30" s="303"/>
      <c r="O30" s="302"/>
      <c r="P30" s="304"/>
      <c r="Q30" s="332">
        <f>'FlV(b)'!K40</f>
        <v>117.60000000000001</v>
      </c>
      <c r="R30" s="332">
        <f>'FlV(b)'!M40</f>
        <v>117.60000000000001</v>
      </c>
      <c r="S30" s="332">
        <f>'FlV(b)'!O40</f>
        <v>117.60000000000001</v>
      </c>
      <c r="T30" s="304"/>
      <c r="U30" s="2503"/>
    </row>
    <row r="31" spans="1:21" ht="48.2" customHeight="1" x14ac:dyDescent="0.2">
      <c r="A31" s="2503"/>
      <c r="B31" s="302"/>
      <c r="C31" s="313" t="s">
        <v>141</v>
      </c>
      <c r="D31" s="306"/>
      <c r="E31" s="306"/>
      <c r="F31" s="306"/>
      <c r="G31" s="306"/>
      <c r="H31" s="306"/>
      <c r="I31" s="306"/>
      <c r="J31" s="306"/>
      <c r="K31" s="306"/>
      <c r="L31" s="306"/>
      <c r="M31" s="306"/>
      <c r="N31" s="306"/>
      <c r="O31" s="316"/>
      <c r="P31" s="320"/>
      <c r="Q31" s="335">
        <f>'FlV(b)'!K41</f>
        <v>1749.9682666666665</v>
      </c>
      <c r="R31" s="335">
        <f>'FlV(b)'!M41</f>
        <v>1784.9682666666665</v>
      </c>
      <c r="S31" s="335">
        <f>'FlV(b)'!O41</f>
        <v>1819.9682666666665</v>
      </c>
      <c r="T31" s="320"/>
      <c r="U31" s="2503"/>
    </row>
    <row r="32" spans="1:21" ht="40.700000000000003" customHeight="1" x14ac:dyDescent="0.2">
      <c r="A32" s="2503"/>
      <c r="B32" s="315"/>
      <c r="C32" s="337" t="s">
        <v>147</v>
      </c>
      <c r="D32" s="331"/>
      <c r="E32" s="331"/>
      <c r="F32" s="331"/>
      <c r="G32" s="331"/>
      <c r="H32" s="331"/>
      <c r="I32" s="331"/>
      <c r="J32" s="331"/>
      <c r="K32" s="331"/>
      <c r="L32" s="331"/>
      <c r="M32" s="331"/>
      <c r="N32" s="317"/>
      <c r="O32" s="315"/>
      <c r="P32" s="317"/>
      <c r="Q32" s="338">
        <f>Q26-Q31</f>
        <v>-723.74385969166678</v>
      </c>
      <c r="R32" s="338">
        <f>R26-R31</f>
        <v>-458.65855722500055</v>
      </c>
      <c r="S32" s="338">
        <f>S26-S31</f>
        <v>-209.32308275833361</v>
      </c>
      <c r="T32" s="317"/>
      <c r="U32" s="2503"/>
    </row>
    <row r="33" spans="1:21" ht="28.5" customHeight="1" x14ac:dyDescent="0.2">
      <c r="A33" s="2503"/>
      <c r="B33" s="302"/>
      <c r="C33" s="85" t="s">
        <v>148</v>
      </c>
      <c r="D33" s="303"/>
      <c r="E33" s="303"/>
      <c r="F33" s="303"/>
      <c r="G33" s="303"/>
      <c r="H33" s="303"/>
      <c r="I33" s="303"/>
      <c r="J33" s="303"/>
      <c r="K33" s="303"/>
      <c r="L33" s="303"/>
      <c r="M33" s="303"/>
      <c r="N33" s="304"/>
      <c r="O33" s="302"/>
      <c r="P33" s="304"/>
      <c r="Q33" s="334"/>
      <c r="R33" s="334"/>
      <c r="S33" s="334"/>
      <c r="T33" s="304"/>
      <c r="U33" s="2503"/>
    </row>
    <row r="34" spans="1:21" ht="3.4" customHeight="1" x14ac:dyDescent="0.2">
      <c r="A34" s="2503"/>
      <c r="B34" s="316"/>
      <c r="C34" s="16"/>
      <c r="D34" s="306"/>
      <c r="E34" s="306"/>
      <c r="F34" s="306"/>
      <c r="G34" s="306"/>
      <c r="H34" s="306"/>
      <c r="I34" s="306"/>
      <c r="J34" s="306"/>
      <c r="K34" s="306"/>
      <c r="L34" s="306"/>
      <c r="M34" s="306"/>
      <c r="N34" s="320"/>
      <c r="O34" s="316"/>
      <c r="P34" s="320"/>
      <c r="Q34" s="335"/>
      <c r="R34" s="335"/>
      <c r="S34" s="335"/>
      <c r="T34" s="320"/>
      <c r="U34" s="2503"/>
    </row>
    <row r="35" spans="1:21" ht="31.7" customHeight="1" x14ac:dyDescent="0.2">
      <c r="A35" s="2503"/>
      <c r="B35" s="3075"/>
      <c r="C35" s="3088" t="s">
        <v>131</v>
      </c>
      <c r="D35" s="3099" t="s">
        <v>57</v>
      </c>
      <c r="E35" s="3089"/>
      <c r="F35" s="3089"/>
      <c r="G35" s="3089"/>
      <c r="H35" s="3089"/>
      <c r="I35" s="3089"/>
      <c r="J35" s="3089"/>
      <c r="K35" s="3089"/>
      <c r="L35" s="3089"/>
      <c r="M35" s="3089"/>
      <c r="N35" s="3089"/>
      <c r="O35" s="3089"/>
      <c r="P35" s="3089"/>
      <c r="Q35" s="3090"/>
      <c r="R35" s="3091"/>
      <c r="S35" s="3092" t="str">
        <f>'FlV(b)'!P2</f>
        <v>Milchkuh; Fleckvieh</v>
      </c>
      <c r="T35" s="3807"/>
      <c r="U35" s="2503"/>
    </row>
    <row r="36" spans="1:21" x14ac:dyDescent="0.2">
      <c r="A36" s="2503"/>
      <c r="B36" s="3081"/>
      <c r="C36" s="3094" t="s">
        <v>149</v>
      </c>
      <c r="D36" s="3100" t="s">
        <v>152</v>
      </c>
      <c r="E36" s="3101"/>
      <c r="F36" s="3101"/>
      <c r="G36" s="3095"/>
      <c r="H36" s="3095"/>
      <c r="I36" s="3095"/>
      <c r="J36" s="3095"/>
      <c r="K36" s="3095"/>
      <c r="L36" s="3095"/>
      <c r="M36" s="3095"/>
      <c r="N36" s="3095"/>
      <c r="O36" s="3095"/>
      <c r="P36" s="3095"/>
      <c r="Q36" s="3096" t="str">
        <f>Q4</f>
        <v xml:space="preserve">  Kalenderjahr:</v>
      </c>
      <c r="R36" s="3095"/>
      <c r="S36" s="3097">
        <f>'FlV(b)'!P4</f>
        <v>2022</v>
      </c>
      <c r="T36" s="3808"/>
      <c r="U36" s="2503"/>
    </row>
    <row r="37" spans="1:21" s="4" customFormat="1" ht="12.75" x14ac:dyDescent="0.2">
      <c r="A37" s="2503"/>
      <c r="B37" s="101"/>
      <c r="C37" s="20"/>
      <c r="D37" s="20"/>
      <c r="E37" s="20"/>
      <c r="F37" s="20"/>
      <c r="G37" s="20"/>
      <c r="H37" s="20"/>
      <c r="I37" s="20"/>
      <c r="J37" s="20"/>
      <c r="K37" s="20"/>
      <c r="L37" s="20"/>
      <c r="M37" s="20"/>
      <c r="N37" s="20"/>
      <c r="O37" s="20"/>
      <c r="P37" s="20"/>
      <c r="Q37" s="20"/>
      <c r="R37" s="20"/>
      <c r="S37" s="20"/>
      <c r="T37" s="309"/>
      <c r="U37" s="2503"/>
    </row>
    <row r="38" spans="1:21" ht="30.2" customHeight="1" x14ac:dyDescent="0.2">
      <c r="A38" s="2503"/>
      <c r="B38" s="898"/>
      <c r="C38" s="913" t="s">
        <v>1077</v>
      </c>
      <c r="D38" s="914"/>
      <c r="E38" s="914"/>
      <c r="F38" s="914"/>
      <c r="G38" s="914"/>
      <c r="H38" s="914"/>
      <c r="I38" s="914"/>
      <c r="J38" s="914"/>
      <c r="K38" s="914"/>
      <c r="L38" s="914"/>
      <c r="M38" s="914"/>
      <c r="N38" s="914"/>
      <c r="O38" s="898" t="s">
        <v>98</v>
      </c>
      <c r="P38" s="915"/>
      <c r="Q38" s="916">
        <f>'FlV(b)'!K7</f>
        <v>6500</v>
      </c>
      <c r="R38" s="916">
        <f>'FlV(b)'!M7</f>
        <v>7500</v>
      </c>
      <c r="S38" s="916">
        <f>'FlV(b)'!O7</f>
        <v>8500</v>
      </c>
      <c r="T38" s="917"/>
      <c r="U38" s="2503"/>
    </row>
    <row r="39" spans="1:21" ht="30.2" customHeight="1" x14ac:dyDescent="0.2">
      <c r="A39" s="2503"/>
      <c r="B39" s="904"/>
      <c r="C39" s="918" t="str">
        <f>C7</f>
        <v>Milchpreis  (inkl. Mwst. )</v>
      </c>
      <c r="D39" s="919"/>
      <c r="E39" s="906"/>
      <c r="F39" s="906"/>
      <c r="G39" s="906"/>
      <c r="H39" s="906"/>
      <c r="I39" s="906"/>
      <c r="J39" s="906"/>
      <c r="K39" s="906"/>
      <c r="L39" s="906"/>
      <c r="M39" s="906"/>
      <c r="N39" s="906"/>
      <c r="O39" s="904" t="s">
        <v>99</v>
      </c>
      <c r="P39" s="920"/>
      <c r="Q39" s="921">
        <f>'FlV(b)'!K8</f>
        <v>0.45442499999999997</v>
      </c>
      <c r="R39" s="921">
        <f>'FlV(b)'!M8</f>
        <v>0.45442499999999997</v>
      </c>
      <c r="S39" s="921">
        <f>'FlV(b)'!O8</f>
        <v>0.45442499999999997</v>
      </c>
      <c r="T39" s="907"/>
      <c r="U39" s="2503"/>
    </row>
    <row r="40" spans="1:21" ht="8.4499999999999993" customHeight="1" x14ac:dyDescent="0.2">
      <c r="A40" s="2503"/>
      <c r="B40" s="302"/>
      <c r="C40" s="303"/>
      <c r="D40" s="303"/>
      <c r="E40" s="303"/>
      <c r="F40" s="303"/>
      <c r="G40" s="303"/>
      <c r="H40" s="303"/>
      <c r="I40" s="303"/>
      <c r="J40" s="303"/>
      <c r="K40" s="303"/>
      <c r="L40" s="303"/>
      <c r="M40" s="303"/>
      <c r="N40" s="303"/>
      <c r="O40" s="302"/>
      <c r="P40" s="304"/>
      <c r="Q40" s="303"/>
      <c r="R40" s="303"/>
      <c r="S40" s="303"/>
      <c r="T40" s="304"/>
      <c r="U40" s="2503"/>
    </row>
    <row r="41" spans="1:21" ht="30.2" customHeight="1" x14ac:dyDescent="0.2">
      <c r="A41" s="2503"/>
      <c r="B41" s="302"/>
      <c r="C41" s="303" t="s">
        <v>100</v>
      </c>
      <c r="D41" s="303"/>
      <c r="E41" s="303"/>
      <c r="F41" s="303"/>
      <c r="G41" s="303"/>
      <c r="H41" s="303"/>
      <c r="I41" s="303"/>
      <c r="J41" s="303"/>
      <c r="K41" s="303"/>
      <c r="L41" s="303"/>
      <c r="M41" s="303"/>
      <c r="N41" s="303"/>
      <c r="O41" s="302" t="s">
        <v>99</v>
      </c>
      <c r="P41" s="304"/>
      <c r="Q41" s="305">
        <f>Q9/Q38</f>
        <v>0.45442499999999997</v>
      </c>
      <c r="R41" s="305">
        <f>R9/R38</f>
        <v>0.45442499999999991</v>
      </c>
      <c r="S41" s="305">
        <f>S9/S38</f>
        <v>0.45442499999999997</v>
      </c>
      <c r="T41" s="304"/>
      <c r="U41" s="2503"/>
    </row>
    <row r="42" spans="1:21" ht="30.2" customHeight="1" x14ac:dyDescent="0.2">
      <c r="A42" s="2503"/>
      <c r="B42" s="302"/>
      <c r="C42" s="303" t="s">
        <v>102</v>
      </c>
      <c r="D42" s="303"/>
      <c r="E42" s="303"/>
      <c r="F42" s="303"/>
      <c r="G42" s="303"/>
      <c r="H42" s="303"/>
      <c r="I42" s="303"/>
      <c r="J42" s="303"/>
      <c r="K42" s="303"/>
      <c r="L42" s="303"/>
      <c r="M42" s="303"/>
      <c r="N42" s="303"/>
      <c r="O42" s="302"/>
      <c r="P42" s="304"/>
      <c r="Q42" s="305">
        <f>Q10/Q24</f>
        <v>0.17414776025641024</v>
      </c>
      <c r="R42" s="305">
        <f>R10/R24</f>
        <v>0.15190002444444445</v>
      </c>
      <c r="S42" s="305">
        <f>S10/S24</f>
        <v>0.13488705000000001</v>
      </c>
      <c r="T42" s="304"/>
      <c r="U42" s="2503"/>
    </row>
    <row r="43" spans="1:21" ht="35.450000000000003" customHeight="1" x14ac:dyDescent="0.2">
      <c r="A43" s="2503"/>
      <c r="B43" s="316"/>
      <c r="C43" s="313" t="s">
        <v>103</v>
      </c>
      <c r="D43" s="306"/>
      <c r="E43" s="306"/>
      <c r="F43" s="306"/>
      <c r="G43" s="306"/>
      <c r="H43" s="306"/>
      <c r="I43" s="306"/>
      <c r="J43" s="306"/>
      <c r="K43" s="306"/>
      <c r="L43" s="306"/>
      <c r="M43" s="306"/>
      <c r="N43" s="306"/>
      <c r="O43" s="316"/>
      <c r="P43" s="320"/>
      <c r="Q43" s="307">
        <f>Q41+Q42</f>
        <v>0.62857276025641018</v>
      </c>
      <c r="R43" s="307">
        <f>R41+R42</f>
        <v>0.60632502444444436</v>
      </c>
      <c r="S43" s="307">
        <f>S41+S42</f>
        <v>0.58931204999999998</v>
      </c>
      <c r="T43" s="320"/>
      <c r="U43" s="2503"/>
    </row>
    <row r="44" spans="1:21" ht="30.2" customHeight="1" x14ac:dyDescent="0.2">
      <c r="A44" s="2503"/>
      <c r="B44" s="302"/>
      <c r="C44" s="303" t="s">
        <v>1086</v>
      </c>
      <c r="D44" s="303"/>
      <c r="E44" s="303"/>
      <c r="F44" s="303"/>
      <c r="G44" s="303"/>
      <c r="H44" s="303"/>
      <c r="I44" s="303"/>
      <c r="J44" s="303"/>
      <c r="K44" s="303"/>
      <c r="L44" s="303"/>
      <c r="M44" s="303"/>
      <c r="N44" s="303"/>
      <c r="O44" s="302"/>
      <c r="P44" s="304"/>
      <c r="Q44" s="305">
        <f>Q12/Q38</f>
        <v>0.10107692307692308</v>
      </c>
      <c r="R44" s="305">
        <f>R12/R38</f>
        <v>8.7599999999999997E-2</v>
      </c>
      <c r="S44" s="305">
        <f>S12/S38</f>
        <v>7.7294117647058819E-2</v>
      </c>
      <c r="T44" s="304"/>
      <c r="U44" s="2503"/>
    </row>
    <row r="45" spans="1:21" ht="30.2" customHeight="1" x14ac:dyDescent="0.2">
      <c r="A45" s="2503"/>
      <c r="B45" s="302"/>
      <c r="C45" s="303" t="s">
        <v>64</v>
      </c>
      <c r="D45" s="303"/>
      <c r="E45" s="303"/>
      <c r="F45" s="303"/>
      <c r="G45" s="303"/>
      <c r="H45" s="303"/>
      <c r="I45" s="303"/>
      <c r="J45" s="303"/>
      <c r="K45" s="303"/>
      <c r="L45" s="303"/>
      <c r="M45" s="303"/>
      <c r="N45" s="303"/>
      <c r="O45" s="302"/>
      <c r="P45" s="304"/>
      <c r="Q45" s="305">
        <f>Q13/Q38</f>
        <v>0.11723976923076924</v>
      </c>
      <c r="R45" s="305">
        <f>R13/R38</f>
        <v>0.10817213333333335</v>
      </c>
      <c r="S45" s="305">
        <f>S13/S38</f>
        <v>0.10123805882352943</v>
      </c>
      <c r="T45" s="304"/>
      <c r="U45" s="2503"/>
    </row>
    <row r="46" spans="1:21" ht="30.2" customHeight="1" x14ac:dyDescent="0.2">
      <c r="A46" s="2503"/>
      <c r="B46" s="302"/>
      <c r="C46" s="303" t="s">
        <v>140</v>
      </c>
      <c r="D46" s="303"/>
      <c r="E46" s="303"/>
      <c r="F46" s="303"/>
      <c r="G46" s="303"/>
      <c r="H46" s="303"/>
      <c r="I46" s="303"/>
      <c r="J46" s="303"/>
      <c r="K46" s="303"/>
      <c r="L46" s="303"/>
      <c r="M46" s="303"/>
      <c r="N46" s="303"/>
      <c r="O46" s="302"/>
      <c r="P46" s="304"/>
      <c r="Q46" s="305">
        <f>('FlV(b)'!K19+'FlV(b)'!K20+'FlV(b)'!K22+'FlV(b)'!K21+'FlV(b)'!K28)/'FlV(b)'!K7</f>
        <v>9.4330745291025642E-2</v>
      </c>
      <c r="R46" s="305">
        <f>('FlV(b)'!M19+'FlV(b)'!M20+'FlV(b)'!M22+'FlV(b)'!M21+'FlV(b)'!M28)/'FlV(b)'!M7</f>
        <v>8.4985452798888889E-2</v>
      </c>
      <c r="S46" s="305">
        <f>('FlV(b)'!O19+'FlV(b)'!O20+'FlV(b)'!O22+'FlV(b)'!O21+'FlV(b)'!O28)/'FlV(b)'!O7</f>
        <v>8.0236993834313722E-2</v>
      </c>
      <c r="T46" s="304"/>
      <c r="U46" s="2503"/>
    </row>
    <row r="47" spans="1:21" ht="35.450000000000003" customHeight="1" x14ac:dyDescent="0.2">
      <c r="A47" s="2503"/>
      <c r="B47" s="316"/>
      <c r="C47" s="313" t="s">
        <v>105</v>
      </c>
      <c r="D47" s="306"/>
      <c r="E47" s="306"/>
      <c r="F47" s="306"/>
      <c r="G47" s="306"/>
      <c r="H47" s="306"/>
      <c r="I47" s="306"/>
      <c r="J47" s="306"/>
      <c r="K47" s="306"/>
      <c r="L47" s="306"/>
      <c r="M47" s="306"/>
      <c r="N47" s="306"/>
      <c r="O47" s="316"/>
      <c r="P47" s="320"/>
      <c r="Q47" s="307">
        <f>Q15/Q38</f>
        <v>0.31264743759871794</v>
      </c>
      <c r="R47" s="307">
        <f>R15/R38</f>
        <v>0.28075758613222224</v>
      </c>
      <c r="S47" s="307">
        <f>S15/S38</f>
        <v>0.25876917030490199</v>
      </c>
      <c r="T47" s="320"/>
      <c r="U47" s="2503"/>
    </row>
    <row r="48" spans="1:21" ht="37.5" customHeight="1" x14ac:dyDescent="0.2">
      <c r="A48" s="2503"/>
      <c r="B48" s="302"/>
      <c r="C48" s="321" t="s">
        <v>252</v>
      </c>
      <c r="D48" s="303"/>
      <c r="E48" s="303"/>
      <c r="F48" s="303"/>
      <c r="G48" s="303"/>
      <c r="H48" s="303"/>
      <c r="I48" s="303"/>
      <c r="J48" s="303"/>
      <c r="K48" s="303"/>
      <c r="L48" s="303"/>
      <c r="M48" s="303"/>
      <c r="N48" s="303"/>
      <c r="O48" s="302"/>
      <c r="P48" s="304"/>
      <c r="Q48" s="322">
        <f>Q43-Q47</f>
        <v>0.31592532265769224</v>
      </c>
      <c r="R48" s="322">
        <f>R43-R47</f>
        <v>0.32556743831222212</v>
      </c>
      <c r="S48" s="322">
        <f>S43-S47</f>
        <v>0.33054287969509799</v>
      </c>
      <c r="T48" s="304"/>
      <c r="U48" s="2503"/>
    </row>
    <row r="49" spans="1:21" ht="30.2" customHeight="1" x14ac:dyDescent="0.2">
      <c r="A49" s="2503"/>
      <c r="B49" s="302"/>
      <c r="C49" s="303" t="s">
        <v>627</v>
      </c>
      <c r="D49" s="303"/>
      <c r="E49" s="303"/>
      <c r="F49" s="303"/>
      <c r="G49" s="303"/>
      <c r="H49" s="303"/>
      <c r="I49" s="303"/>
      <c r="J49" s="303"/>
      <c r="K49" s="303"/>
      <c r="L49" s="303"/>
      <c r="M49" s="303"/>
      <c r="N49" s="303"/>
      <c r="O49" s="302"/>
      <c r="P49" s="304"/>
      <c r="Q49" s="305">
        <f>Q17/Q38</f>
        <v>0.15804464466153845</v>
      </c>
      <c r="R49" s="305">
        <f>R17/R38</f>
        <v>0.14872614371999998</v>
      </c>
      <c r="S49" s="305">
        <f>S17/S38</f>
        <v>0.14105521100000004</v>
      </c>
      <c r="T49" s="304"/>
      <c r="U49" s="2503"/>
    </row>
    <row r="50" spans="1:21" ht="37.5" customHeight="1" x14ac:dyDescent="0.2">
      <c r="A50" s="2503"/>
      <c r="B50" s="316"/>
      <c r="C50" s="314" t="s">
        <v>906</v>
      </c>
      <c r="D50" s="311"/>
      <c r="E50" s="311"/>
      <c r="F50" s="311"/>
      <c r="G50" s="311"/>
      <c r="H50" s="311"/>
      <c r="I50" s="311"/>
      <c r="J50" s="311"/>
      <c r="K50" s="311"/>
      <c r="L50" s="311"/>
      <c r="M50" s="311"/>
      <c r="N50" s="311"/>
      <c r="O50" s="361"/>
      <c r="P50" s="362"/>
      <c r="Q50" s="312">
        <f>Q48-Q49</f>
        <v>0.1578806779961538</v>
      </c>
      <c r="R50" s="312">
        <f>R48-R49</f>
        <v>0.17684129459222214</v>
      </c>
      <c r="S50" s="312">
        <f>S48-S49</f>
        <v>0.18948766869509795</v>
      </c>
      <c r="T50" s="308">
        <f>T48-T49</f>
        <v>0</v>
      </c>
      <c r="U50" s="2503"/>
    </row>
    <row r="51" spans="1:21" ht="12.2" customHeight="1" x14ac:dyDescent="0.2">
      <c r="A51" s="2503"/>
      <c r="U51" s="2503"/>
    </row>
    <row r="52" spans="1:21" ht="32.25" customHeight="1" x14ac:dyDescent="0.2">
      <c r="A52" s="2503"/>
      <c r="B52" s="3075"/>
      <c r="C52" s="3087" t="s">
        <v>131</v>
      </c>
      <c r="D52" s="3102" t="s">
        <v>57</v>
      </c>
      <c r="E52" s="3089"/>
      <c r="F52" s="3089"/>
      <c r="G52" s="3089"/>
      <c r="H52" s="3089"/>
      <c r="I52" s="3089"/>
      <c r="J52" s="3089"/>
      <c r="K52" s="3089"/>
      <c r="L52" s="3089"/>
      <c r="M52" s="3089"/>
      <c r="N52" s="3089"/>
      <c r="O52" s="3089"/>
      <c r="P52" s="3089"/>
      <c r="Q52" s="3090"/>
      <c r="R52" s="3091"/>
      <c r="S52" s="3092" t="str">
        <f>'FlV(b)'!P2</f>
        <v>Milchkuh; Fleckvieh</v>
      </c>
      <c r="T52" s="3807"/>
      <c r="U52" s="2503"/>
    </row>
    <row r="53" spans="1:21" x14ac:dyDescent="0.2">
      <c r="A53" s="2503"/>
      <c r="B53" s="3081"/>
      <c r="C53" s="3094" t="s">
        <v>149</v>
      </c>
      <c r="D53" s="3094" t="s">
        <v>153</v>
      </c>
      <c r="E53" s="3095"/>
      <c r="F53" s="3095"/>
      <c r="G53" s="3095"/>
      <c r="H53" s="3095"/>
      <c r="I53" s="3095"/>
      <c r="J53" s="3095"/>
      <c r="K53" s="3095"/>
      <c r="L53" s="3095"/>
      <c r="M53" s="3095"/>
      <c r="N53" s="3095"/>
      <c r="O53" s="3095"/>
      <c r="P53" s="3095"/>
      <c r="Q53" s="3096" t="str">
        <f>Q4</f>
        <v xml:space="preserve">  Kalenderjahr:</v>
      </c>
      <c r="R53" s="3095"/>
      <c r="S53" s="3095">
        <f>'FlV(b)'!P4</f>
        <v>2022</v>
      </c>
      <c r="T53" s="3808"/>
      <c r="U53" s="2503"/>
    </row>
    <row r="54" spans="1:21" s="4" customFormat="1" ht="12.75" x14ac:dyDescent="0.2">
      <c r="A54" s="2503"/>
      <c r="B54" s="323"/>
      <c r="C54" s="20"/>
      <c r="D54" s="20"/>
      <c r="E54" s="20"/>
      <c r="F54" s="20"/>
      <c r="G54" s="20"/>
      <c r="H54" s="20"/>
      <c r="I54" s="20"/>
      <c r="J54" s="20"/>
      <c r="K54" s="20"/>
      <c r="L54" s="20"/>
      <c r="M54" s="20"/>
      <c r="N54" s="20"/>
      <c r="O54" s="20"/>
      <c r="P54" s="20"/>
      <c r="Q54" s="353"/>
      <c r="R54" s="20"/>
      <c r="S54" s="20"/>
      <c r="T54" s="309"/>
      <c r="U54" s="2503"/>
    </row>
    <row r="55" spans="1:21" ht="30.2" customHeight="1" x14ac:dyDescent="0.2">
      <c r="A55" s="2503"/>
      <c r="B55" s="898"/>
      <c r="C55" s="899" t="s">
        <v>1077</v>
      </c>
      <c r="D55" s="900"/>
      <c r="E55" s="900"/>
      <c r="F55" s="900"/>
      <c r="G55" s="900"/>
      <c r="H55" s="900"/>
      <c r="I55" s="900"/>
      <c r="J55" s="900"/>
      <c r="K55" s="900"/>
      <c r="L55" s="900"/>
      <c r="M55" s="900"/>
      <c r="N55" s="900"/>
      <c r="O55" s="898" t="s">
        <v>98</v>
      </c>
      <c r="P55" s="902"/>
      <c r="Q55" s="903">
        <f>'FlV(b)'!K7</f>
        <v>6500</v>
      </c>
      <c r="R55" s="903">
        <f>'FlV(b)'!M7</f>
        <v>7500</v>
      </c>
      <c r="S55" s="903">
        <f>'FlV(b)'!O7</f>
        <v>8500</v>
      </c>
      <c r="T55" s="902"/>
      <c r="U55" s="2503"/>
    </row>
    <row r="56" spans="1:21" ht="30.2" customHeight="1" x14ac:dyDescent="0.2">
      <c r="A56" s="2503"/>
      <c r="B56" s="904"/>
      <c r="C56" s="911" t="str">
        <f>C7</f>
        <v>Milchpreis  (inkl. Mwst. )</v>
      </c>
      <c r="D56" s="906"/>
      <c r="E56" s="906"/>
      <c r="F56" s="906"/>
      <c r="G56" s="906"/>
      <c r="H56" s="906"/>
      <c r="I56" s="906"/>
      <c r="J56" s="906"/>
      <c r="K56" s="906"/>
      <c r="L56" s="906"/>
      <c r="M56" s="906"/>
      <c r="N56" s="906"/>
      <c r="O56" s="904" t="s">
        <v>99</v>
      </c>
      <c r="P56" s="907"/>
      <c r="Q56" s="912">
        <f>'FlV(b)'!K8</f>
        <v>0.45442499999999997</v>
      </c>
      <c r="R56" s="912">
        <f>'FlV(b)'!M8</f>
        <v>0.45442499999999997</v>
      </c>
      <c r="S56" s="912">
        <f>'FlV(b)'!O8</f>
        <v>0.45442499999999997</v>
      </c>
      <c r="T56" s="907"/>
      <c r="U56" s="2503"/>
    </row>
    <row r="57" spans="1:21" ht="12.2" customHeight="1" x14ac:dyDescent="0.2">
      <c r="A57" s="2503"/>
      <c r="B57" s="315"/>
      <c r="C57" s="331"/>
      <c r="D57" s="331"/>
      <c r="E57" s="331"/>
      <c r="F57" s="331"/>
      <c r="G57" s="331"/>
      <c r="H57" s="331"/>
      <c r="I57" s="331"/>
      <c r="J57" s="331"/>
      <c r="K57" s="331"/>
      <c r="L57" s="331"/>
      <c r="M57" s="331"/>
      <c r="N57" s="331"/>
      <c r="O57" s="315"/>
      <c r="P57" s="317"/>
      <c r="Q57" s="331"/>
      <c r="R57" s="331"/>
      <c r="S57" s="331"/>
      <c r="T57" s="317"/>
      <c r="U57" s="2503"/>
    </row>
    <row r="58" spans="1:21" ht="51.75" customHeight="1" x14ac:dyDescent="0.2">
      <c r="A58" s="2503"/>
      <c r="B58" s="316"/>
      <c r="C58" s="313" t="s">
        <v>253</v>
      </c>
      <c r="D58" s="306"/>
      <c r="E58" s="306"/>
      <c r="F58" s="306"/>
      <c r="G58" s="306"/>
      <c r="H58" s="306"/>
      <c r="I58" s="306"/>
      <c r="J58" s="306"/>
      <c r="K58" s="306"/>
      <c r="L58" s="306"/>
      <c r="M58" s="306"/>
      <c r="N58" s="306"/>
      <c r="O58" s="316" t="s">
        <v>99</v>
      </c>
      <c r="P58" s="320"/>
      <c r="Q58" s="307">
        <f>Q26/Q6</f>
        <v>0.1578806779961538</v>
      </c>
      <c r="R58" s="307">
        <f>R26/R6</f>
        <v>0.17684129459222214</v>
      </c>
      <c r="S58" s="307">
        <f>S26/S6</f>
        <v>0.18948766869509798</v>
      </c>
      <c r="T58" s="320"/>
      <c r="U58" s="2503"/>
    </row>
    <row r="59" spans="1:21" ht="29.25" customHeight="1" x14ac:dyDescent="0.2">
      <c r="A59" s="2503"/>
      <c r="B59" s="302"/>
      <c r="C59" s="303" t="s">
        <v>47</v>
      </c>
      <c r="D59" s="303"/>
      <c r="E59" s="303"/>
      <c r="F59" s="303"/>
      <c r="G59" s="303"/>
      <c r="H59" s="303"/>
      <c r="I59" s="303"/>
      <c r="J59" s="303"/>
      <c r="K59" s="303"/>
      <c r="L59" s="303"/>
      <c r="M59" s="303"/>
      <c r="N59" s="303"/>
      <c r="O59" s="302"/>
      <c r="P59" s="304"/>
      <c r="Q59" s="305">
        <f>Q27/Q6</f>
        <v>0.12115384615384615</v>
      </c>
      <c r="R59" s="305">
        <f>R27/R6</f>
        <v>0.10966666666666666</v>
      </c>
      <c r="S59" s="305">
        <f>S27/S6</f>
        <v>0.10088235294117646</v>
      </c>
      <c r="T59" s="304"/>
      <c r="U59" s="2503"/>
    </row>
    <row r="60" spans="1:21" ht="29.25" customHeight="1" x14ac:dyDescent="0.2">
      <c r="A60" s="2503"/>
      <c r="B60" s="302"/>
      <c r="C60" s="303" t="s">
        <v>144</v>
      </c>
      <c r="D60" s="303"/>
      <c r="E60" s="303"/>
      <c r="F60" s="303"/>
      <c r="G60" s="303"/>
      <c r="H60" s="303"/>
      <c r="I60" s="303"/>
      <c r="J60" s="303"/>
      <c r="K60" s="303"/>
      <c r="L60" s="303"/>
      <c r="M60" s="303"/>
      <c r="N60" s="303"/>
      <c r="O60" s="302"/>
      <c r="P60" s="304"/>
      <c r="Q60" s="305">
        <f>Q28/Q6</f>
        <v>0.11565213333333332</v>
      </c>
      <c r="R60" s="305">
        <f>R28/R6</f>
        <v>0.10023184888888888</v>
      </c>
      <c r="S60" s="305">
        <f>S28/S6</f>
        <v>8.8439866666666658E-2</v>
      </c>
      <c r="T60" s="304"/>
      <c r="U60" s="2503"/>
    </row>
    <row r="61" spans="1:21" ht="29.25" customHeight="1" x14ac:dyDescent="0.2">
      <c r="A61" s="2503"/>
      <c r="B61" s="302"/>
      <c r="C61" s="303" t="s">
        <v>81</v>
      </c>
      <c r="D61" s="303"/>
      <c r="E61" s="303"/>
      <c r="F61" s="303"/>
      <c r="G61" s="303"/>
      <c r="H61" s="303"/>
      <c r="I61" s="303"/>
      <c r="J61" s="303"/>
      <c r="K61" s="303"/>
      <c r="L61" s="303"/>
      <c r="M61" s="303"/>
      <c r="N61" s="303"/>
      <c r="O61" s="302"/>
      <c r="P61" s="304"/>
      <c r="Q61" s="305">
        <f>'FlV(b)'!K39/'FlV(b)'!K7</f>
        <v>1.4327599999999998E-2</v>
      </c>
      <c r="R61" s="305">
        <f>'FlV(b)'!M39/'FlV(b)'!M7</f>
        <v>1.2417253333333333E-2</v>
      </c>
      <c r="S61" s="305">
        <f>'FlV(b)'!O39/'FlV(b)'!O7</f>
        <v>1.0956399999999998E-2</v>
      </c>
      <c r="T61" s="304"/>
      <c r="U61" s="2503"/>
    </row>
    <row r="62" spans="1:21" ht="29.25" customHeight="1" x14ac:dyDescent="0.2">
      <c r="A62" s="2503"/>
      <c r="B62" s="302"/>
      <c r="C62" s="303" t="s">
        <v>895</v>
      </c>
      <c r="D62" s="303"/>
      <c r="E62" s="303"/>
      <c r="F62" s="303"/>
      <c r="G62" s="303"/>
      <c r="H62" s="303"/>
      <c r="I62" s="303"/>
      <c r="J62" s="303"/>
      <c r="K62" s="303"/>
      <c r="L62" s="303"/>
      <c r="M62" s="303"/>
      <c r="N62" s="303"/>
      <c r="O62" s="302"/>
      <c r="P62" s="304"/>
      <c r="Q62" s="305">
        <f>Q30/Q6</f>
        <v>1.8092307692307692E-2</v>
      </c>
      <c r="R62" s="305">
        <f>R30/R6</f>
        <v>1.5679999999999999E-2</v>
      </c>
      <c r="S62" s="305">
        <f>S30/S6</f>
        <v>1.383529411764706E-2</v>
      </c>
      <c r="T62" s="304"/>
      <c r="U62" s="2503"/>
    </row>
    <row r="63" spans="1:21" ht="39.200000000000003" customHeight="1" x14ac:dyDescent="0.2">
      <c r="A63" s="2503"/>
      <c r="B63" s="316"/>
      <c r="C63" s="313" t="s">
        <v>141</v>
      </c>
      <c r="D63" s="306"/>
      <c r="E63" s="306"/>
      <c r="F63" s="306"/>
      <c r="G63" s="306"/>
      <c r="H63" s="306"/>
      <c r="I63" s="306"/>
      <c r="J63" s="306"/>
      <c r="K63" s="306"/>
      <c r="L63" s="306"/>
      <c r="M63" s="306"/>
      <c r="N63" s="306"/>
      <c r="O63" s="316"/>
      <c r="P63" s="320"/>
      <c r="Q63" s="307">
        <f>Q59+Q60+Q62</f>
        <v>0.25489828717948715</v>
      </c>
      <c r="R63" s="307">
        <f>R59+R60+R62</f>
        <v>0.22557851555555555</v>
      </c>
      <c r="S63" s="307">
        <f>S59+S60+S62</f>
        <v>0.20315751372549018</v>
      </c>
      <c r="T63" s="320"/>
      <c r="U63" s="2503"/>
    </row>
    <row r="64" spans="1:21" ht="36" customHeight="1" x14ac:dyDescent="0.2">
      <c r="A64" s="2503"/>
      <c r="B64" s="315"/>
      <c r="C64" s="538" t="str">
        <f>C32</f>
        <v>Kalkulatorisches Betriebszweigergebnis</v>
      </c>
      <c r="D64" s="331"/>
      <c r="E64" s="331"/>
      <c r="F64" s="331"/>
      <c r="G64" s="331"/>
      <c r="H64" s="331"/>
      <c r="I64" s="331"/>
      <c r="J64" s="331"/>
      <c r="K64" s="331"/>
      <c r="L64" s="331"/>
      <c r="M64" s="331"/>
      <c r="N64" s="317"/>
      <c r="O64" s="315"/>
      <c r="P64" s="317"/>
      <c r="Q64" s="539">
        <f>'FlV(b)'!K43/'FlV(Fol)'!Q6</f>
        <v>-0.11134520918333328</v>
      </c>
      <c r="R64" s="539">
        <f>'FlV(b)'!M43/'FlV(Fol)'!R6</f>
        <v>-6.115447429666674E-2</v>
      </c>
      <c r="S64" s="539">
        <f>'FlV(b)'!O43/'FlV(Fol)'!S6</f>
        <v>-2.462624503039219E-2</v>
      </c>
      <c r="T64" s="317"/>
      <c r="U64" s="2503"/>
    </row>
    <row r="65" spans="1:21" ht="24.75" customHeight="1" x14ac:dyDescent="0.2">
      <c r="A65" s="2503"/>
      <c r="B65" s="302"/>
      <c r="C65" s="824" t="str">
        <f>C33</f>
        <v>(Unternehmergewinn / - verlust)</v>
      </c>
      <c r="D65" s="303"/>
      <c r="E65" s="303"/>
      <c r="F65" s="303"/>
      <c r="G65" s="303"/>
      <c r="H65" s="303"/>
      <c r="I65" s="303"/>
      <c r="J65" s="303"/>
      <c r="K65" s="303"/>
      <c r="L65" s="303"/>
      <c r="M65" s="303"/>
      <c r="N65" s="304"/>
      <c r="O65" s="302"/>
      <c r="P65" s="304"/>
      <c r="Q65" s="3073"/>
      <c r="R65" s="312"/>
      <c r="S65" s="312"/>
      <c r="T65" s="304"/>
      <c r="U65" s="2503"/>
    </row>
    <row r="66" spans="1:21" ht="40.700000000000003" customHeight="1" x14ac:dyDescent="0.2">
      <c r="A66" s="2503"/>
      <c r="B66" s="340"/>
      <c r="C66" s="3074" t="s">
        <v>1504</v>
      </c>
      <c r="D66" s="342"/>
      <c r="E66" s="342"/>
      <c r="F66" s="342"/>
      <c r="G66" s="342"/>
      <c r="H66" s="342"/>
      <c r="I66" s="342"/>
      <c r="J66" s="342"/>
      <c r="K66" s="342"/>
      <c r="L66" s="342"/>
      <c r="M66" s="342"/>
      <c r="N66" s="342"/>
      <c r="O66" s="340"/>
      <c r="P66" s="344"/>
      <c r="T66" s="344"/>
      <c r="U66" s="2503"/>
    </row>
    <row r="67" spans="1:21" ht="40.700000000000003" customHeight="1" x14ac:dyDescent="0.2">
      <c r="A67" s="2503"/>
      <c r="B67" s="315"/>
      <c r="C67" s="538"/>
      <c r="D67" s="331"/>
      <c r="E67" s="331" t="s">
        <v>1505</v>
      </c>
      <c r="F67" s="331"/>
      <c r="G67" s="331"/>
      <c r="H67" s="331"/>
      <c r="I67" s="331"/>
      <c r="J67" s="331"/>
      <c r="K67" s="331"/>
      <c r="L67" s="331"/>
      <c r="M67" s="331"/>
      <c r="N67" s="3805" t="s">
        <v>1064</v>
      </c>
      <c r="O67" s="315"/>
      <c r="P67" s="317"/>
      <c r="Q67" s="539">
        <f>'FlV(b)'!L55</f>
        <v>0.51668512254185694</v>
      </c>
      <c r="R67" s="539">
        <f>'FlV(b)'!N55</f>
        <v>0.47084883497412477</v>
      </c>
      <c r="S67" s="539">
        <f>'FlV(b)'!P55</f>
        <v>0.43748972148894272</v>
      </c>
      <c r="T67" s="317"/>
      <c r="U67" s="2503"/>
    </row>
    <row r="68" spans="1:21" ht="40.700000000000003" customHeight="1" x14ac:dyDescent="0.2">
      <c r="A68" s="2503"/>
      <c r="B68" s="316"/>
      <c r="C68" s="347"/>
      <c r="D68" s="306"/>
      <c r="E68" s="306"/>
      <c r="F68" s="306"/>
      <c r="G68" s="306"/>
      <c r="H68" s="306"/>
      <c r="I68" s="306"/>
      <c r="J68" s="306"/>
      <c r="K68" s="306"/>
      <c r="L68" s="306"/>
      <c r="M68" s="306"/>
      <c r="N68" s="3136" t="str">
        <f>IF(Stammdaten!$AH$13=1,"mit Mwst.","")</f>
        <v>mit Mwst.</v>
      </c>
      <c r="O68" s="316"/>
      <c r="P68" s="320"/>
      <c r="Q68" s="540">
        <f>'FlV(b)'!L56</f>
        <v>0.56577020918333332</v>
      </c>
      <c r="R68" s="540">
        <f>'FlV(b)'!N56</f>
        <v>0.51557947429666662</v>
      </c>
      <c r="S68" s="540">
        <f>'FlV(b)'!P56</f>
        <v>0.47905124503039226</v>
      </c>
      <c r="T68" s="320"/>
      <c r="U68" s="2503"/>
    </row>
    <row r="69" spans="1:21" ht="13.7" customHeight="1" x14ac:dyDescent="0.2">
      <c r="A69" s="2503"/>
      <c r="B69" s="303"/>
      <c r="C69" s="3"/>
      <c r="D69" s="303"/>
      <c r="E69" s="303"/>
      <c r="F69" s="3"/>
      <c r="G69" s="3"/>
      <c r="H69" s="3"/>
      <c r="I69" s="3"/>
      <c r="J69" s="3"/>
      <c r="K69" s="3"/>
      <c r="L69" s="3"/>
      <c r="M69" s="3"/>
      <c r="N69" s="3"/>
      <c r="O69" s="3"/>
      <c r="P69" s="3"/>
      <c r="Q69" s="322"/>
      <c r="R69" s="322"/>
      <c r="S69" s="322"/>
      <c r="T69" s="303"/>
      <c r="U69" s="2503"/>
    </row>
    <row r="70" spans="1:21" ht="32.25" customHeight="1" x14ac:dyDescent="0.2">
      <c r="A70" s="2503"/>
      <c r="B70" s="3075"/>
      <c r="C70" s="3102" t="s">
        <v>154</v>
      </c>
      <c r="D70" s="3102" t="s">
        <v>862</v>
      </c>
      <c r="E70" s="3087"/>
      <c r="F70" s="3087"/>
      <c r="G70" s="3089"/>
      <c r="H70" s="3089"/>
      <c r="I70" s="3089"/>
      <c r="J70" s="3089"/>
      <c r="K70" s="3089"/>
      <c r="L70" s="3089"/>
      <c r="M70" s="3089"/>
      <c r="N70" s="3089"/>
      <c r="O70" s="3089"/>
      <c r="P70" s="3089"/>
      <c r="Q70" s="3090"/>
      <c r="R70" s="3091"/>
      <c r="S70" s="3092" t="str">
        <f>'FlV(b)'!P2</f>
        <v>Milchkuh; Fleckvieh</v>
      </c>
      <c r="T70" s="3807"/>
      <c r="U70" s="2503"/>
    </row>
    <row r="71" spans="1:21" ht="27.75" customHeight="1" x14ac:dyDescent="0.2">
      <c r="A71" s="2503"/>
      <c r="B71" s="3081"/>
      <c r="C71" s="3094" t="s">
        <v>95</v>
      </c>
      <c r="D71" s="3093" t="s">
        <v>156</v>
      </c>
      <c r="E71" s="3095"/>
      <c r="F71" s="3095"/>
      <c r="G71" s="3095"/>
      <c r="H71" s="3095"/>
      <c r="I71" s="3095"/>
      <c r="J71" s="3095"/>
      <c r="K71" s="3095"/>
      <c r="L71" s="3095"/>
      <c r="M71" s="3095"/>
      <c r="N71" s="3095"/>
      <c r="O71" s="3095"/>
      <c r="P71" s="3095"/>
      <c r="Q71" s="3096" t="str">
        <f>Q4</f>
        <v xml:space="preserve">  Kalenderjahr:</v>
      </c>
      <c r="R71" s="3095"/>
      <c r="S71" s="3095">
        <f>'FlV(b)'!P4</f>
        <v>2022</v>
      </c>
      <c r="T71" s="3808"/>
      <c r="U71" s="2503"/>
    </row>
    <row r="72" spans="1:21" s="4" customFormat="1" ht="7.5" customHeight="1" x14ac:dyDescent="0.2">
      <c r="A72" s="2503"/>
      <c r="B72" s="323"/>
      <c r="C72" s="20"/>
      <c r="D72" s="20"/>
      <c r="E72" s="20"/>
      <c r="F72" s="20"/>
      <c r="G72" s="20"/>
      <c r="H72" s="20"/>
      <c r="I72" s="20"/>
      <c r="J72" s="20"/>
      <c r="K72" s="20"/>
      <c r="L72" s="20"/>
      <c r="M72" s="20"/>
      <c r="N72" s="20"/>
      <c r="O72" s="20"/>
      <c r="P72" s="20"/>
      <c r="Q72" s="20"/>
      <c r="R72" s="20"/>
      <c r="S72" s="20"/>
      <c r="T72" s="309"/>
      <c r="U72" s="2503"/>
    </row>
    <row r="73" spans="1:21" ht="30.2" customHeight="1" x14ac:dyDescent="0.2">
      <c r="A73" s="2503"/>
      <c r="B73" s="898"/>
      <c r="C73" s="899" t="s">
        <v>1077</v>
      </c>
      <c r="D73" s="900"/>
      <c r="E73" s="900"/>
      <c r="F73" s="900"/>
      <c r="G73" s="900"/>
      <c r="H73" s="900"/>
      <c r="I73" s="900"/>
      <c r="J73" s="900"/>
      <c r="K73" s="900"/>
      <c r="L73" s="900"/>
      <c r="M73" s="900"/>
      <c r="N73" s="900"/>
      <c r="O73" s="898" t="s">
        <v>98</v>
      </c>
      <c r="P73" s="902"/>
      <c r="Q73" s="903">
        <f>'FlV(b)'!K7</f>
        <v>6500</v>
      </c>
      <c r="R73" s="903">
        <f>'FlV(b)'!M7</f>
        <v>7500</v>
      </c>
      <c r="S73" s="903">
        <f>'FlV(b)'!O7</f>
        <v>8500</v>
      </c>
      <c r="T73" s="902"/>
      <c r="U73" s="2503"/>
    </row>
    <row r="74" spans="1:21" ht="30.2" customHeight="1" x14ac:dyDescent="0.2">
      <c r="A74" s="2503"/>
      <c r="B74" s="904"/>
      <c r="C74" s="911" t="str">
        <f>C7</f>
        <v>Milchpreis  (inkl. Mwst. )</v>
      </c>
      <c r="D74" s="906"/>
      <c r="E74" s="906"/>
      <c r="F74" s="906"/>
      <c r="G74" s="906"/>
      <c r="H74" s="906"/>
      <c r="I74" s="906"/>
      <c r="J74" s="906"/>
      <c r="K74" s="906"/>
      <c r="L74" s="906"/>
      <c r="M74" s="906"/>
      <c r="N74" s="906"/>
      <c r="O74" s="904" t="s">
        <v>99</v>
      </c>
      <c r="P74" s="907"/>
      <c r="Q74" s="912">
        <f>'FlV(b)'!K8</f>
        <v>0.45442499999999997</v>
      </c>
      <c r="R74" s="912">
        <f>'FlV(b)'!M8</f>
        <v>0.45442499999999997</v>
      </c>
      <c r="S74" s="912">
        <f>'FlV(b)'!O8</f>
        <v>0.45442499999999997</v>
      </c>
      <c r="T74" s="907"/>
      <c r="U74" s="2503"/>
    </row>
    <row r="75" spans="1:21" ht="38.25" customHeight="1" x14ac:dyDescent="0.2">
      <c r="A75" s="2503"/>
      <c r="B75" s="302"/>
      <c r="C75" s="333" t="s">
        <v>157</v>
      </c>
      <c r="D75" s="303"/>
      <c r="E75" s="3"/>
      <c r="F75" s="346" t="s">
        <v>158</v>
      </c>
      <c r="G75" s="303" t="s">
        <v>159</v>
      </c>
      <c r="H75"/>
      <c r="I75" s="303"/>
      <c r="J75" s="303"/>
      <c r="K75" s="303"/>
      <c r="L75" s="303"/>
      <c r="M75" s="303"/>
      <c r="N75" s="303"/>
      <c r="O75" s="302" t="s">
        <v>160</v>
      </c>
      <c r="P75" s="304"/>
      <c r="Q75" s="530">
        <f>'FlV(b)'!K48</f>
        <v>3.5294193424346045</v>
      </c>
      <c r="R75" s="530">
        <f>'FlV(b)'!M48</f>
        <v>9.0457199466449723</v>
      </c>
      <c r="S75" s="530">
        <f>'FlV(b)'!O48</f>
        <v>13.804377876405336</v>
      </c>
      <c r="T75" s="304"/>
      <c r="U75" s="2503"/>
    </row>
    <row r="76" spans="1:21" s="359" customFormat="1" ht="38.25" customHeight="1" x14ac:dyDescent="0.2">
      <c r="A76" s="2503"/>
      <c r="B76" s="355"/>
      <c r="C76" s="356" t="s">
        <v>244</v>
      </c>
      <c r="D76" s="15"/>
      <c r="E76" s="357"/>
      <c r="F76" s="357"/>
      <c r="G76" s="357"/>
      <c r="H76" s="357"/>
      <c r="I76" s="357"/>
      <c r="J76" s="357"/>
      <c r="K76" s="357"/>
      <c r="L76" s="357"/>
      <c r="M76" s="357"/>
      <c r="N76" s="357"/>
      <c r="O76" s="355"/>
      <c r="P76" s="358"/>
      <c r="Q76" s="357"/>
      <c r="R76" s="357"/>
      <c r="S76" s="357"/>
      <c r="T76" s="358"/>
      <c r="U76" s="2503"/>
    </row>
    <row r="77" spans="1:21" ht="38.25" customHeight="1" x14ac:dyDescent="0.2">
      <c r="A77" s="2503"/>
      <c r="B77" s="302"/>
      <c r="C77" s="333" t="s">
        <v>161</v>
      </c>
      <c r="D77" s="303"/>
      <c r="E77" s="434"/>
      <c r="F77" s="346" t="s">
        <v>158</v>
      </c>
      <c r="G77" s="303" t="s">
        <v>162</v>
      </c>
      <c r="H77"/>
      <c r="I77" s="333"/>
      <c r="J77" s="303"/>
      <c r="K77" s="303"/>
      <c r="L77" s="303"/>
      <c r="M77" s="303"/>
      <c r="N77" s="303"/>
      <c r="O77" s="302" t="s">
        <v>163</v>
      </c>
      <c r="P77" s="304"/>
      <c r="Q77" s="334">
        <f>'FlV(b)'!K49</f>
        <v>27.995006975000251</v>
      </c>
      <c r="R77" s="334">
        <f>'FlV(b)'!M49</f>
        <v>293.08030944166603</v>
      </c>
      <c r="S77" s="334">
        <f>'FlV(b)'!O49</f>
        <v>542.41578390833297</v>
      </c>
      <c r="T77" s="304"/>
      <c r="U77" s="2503"/>
    </row>
    <row r="78" spans="1:21" s="359" customFormat="1" ht="38.25" customHeight="1" x14ac:dyDescent="0.2">
      <c r="A78" s="2503"/>
      <c r="B78" s="355"/>
      <c r="C78" s="356" t="s">
        <v>171</v>
      </c>
      <c r="D78" s="15"/>
      <c r="E78" s="357"/>
      <c r="F78" s="357"/>
      <c r="G78" s="357"/>
      <c r="H78" s="357"/>
      <c r="I78" s="357"/>
      <c r="J78" s="357"/>
      <c r="K78" s="357"/>
      <c r="L78" s="357"/>
      <c r="M78" s="357"/>
      <c r="N78" s="357"/>
      <c r="O78" s="355"/>
      <c r="P78" s="358"/>
      <c r="Q78" s="357"/>
      <c r="R78" s="357"/>
      <c r="S78" s="357"/>
      <c r="T78" s="358"/>
      <c r="U78" s="2503"/>
    </row>
    <row r="79" spans="1:21" ht="42" customHeight="1" x14ac:dyDescent="0.35">
      <c r="A79" s="2503"/>
      <c r="B79" s="315"/>
      <c r="C79" s="351" t="s">
        <v>165</v>
      </c>
      <c r="D79" s="331"/>
      <c r="E79" s="331"/>
      <c r="F79" s="331"/>
      <c r="G79" s="331"/>
      <c r="H79" s="331"/>
      <c r="I79" s="331"/>
      <c r="J79" s="331"/>
      <c r="K79" s="331"/>
      <c r="L79" s="331"/>
      <c r="M79" s="331"/>
      <c r="N79" s="331"/>
      <c r="O79" s="348"/>
      <c r="P79" s="317"/>
      <c r="Q79" s="331"/>
      <c r="R79" s="331"/>
      <c r="S79" s="331"/>
      <c r="T79" s="317"/>
      <c r="U79" s="2503"/>
    </row>
    <row r="80" spans="1:21" ht="33" customHeight="1" x14ac:dyDescent="0.2">
      <c r="A80" s="2503"/>
      <c r="B80" s="302"/>
      <c r="C80" s="321" t="s">
        <v>168</v>
      </c>
      <c r="D80" s="303"/>
      <c r="E80" s="303"/>
      <c r="F80" s="303"/>
      <c r="G80" s="303"/>
      <c r="H80" s="303"/>
      <c r="I80" s="303"/>
      <c r="J80" s="303"/>
      <c r="K80" s="303"/>
      <c r="L80" s="303"/>
      <c r="M80" s="303"/>
      <c r="N80" s="3135" t="s">
        <v>1064</v>
      </c>
      <c r="O80" s="302" t="s">
        <v>99</v>
      </c>
      <c r="P80" s="304"/>
      <c r="Q80" s="3137">
        <f>'FlV(b)'!L55</f>
        <v>0.51668512254185694</v>
      </c>
      <c r="R80" s="3138">
        <f>'FlV(b)'!N55</f>
        <v>0.47084883497412477</v>
      </c>
      <c r="S80" s="3138">
        <f>'FlV(b)'!P55</f>
        <v>0.43748972148894272</v>
      </c>
      <c r="T80" s="304"/>
      <c r="U80" s="2503"/>
    </row>
    <row r="81" spans="1:21" ht="33" customHeight="1" x14ac:dyDescent="0.2">
      <c r="A81" s="2503"/>
      <c r="B81" s="302"/>
      <c r="C81" s="347"/>
      <c r="D81" s="306"/>
      <c r="E81" s="347"/>
      <c r="F81" s="306"/>
      <c r="G81" s="306"/>
      <c r="H81" s="306"/>
      <c r="I81" s="306"/>
      <c r="J81" s="306"/>
      <c r="K81" s="306"/>
      <c r="L81" s="306"/>
      <c r="M81" s="306"/>
      <c r="N81" s="3136" t="str">
        <f>IF(Stammdaten!$AH$13=1,"mit Mwst.","")</f>
        <v>mit Mwst.</v>
      </c>
      <c r="O81" s="316"/>
      <c r="P81" s="320"/>
      <c r="Q81" s="3804">
        <f>'FlV(b)'!L56</f>
        <v>0.56577020918333332</v>
      </c>
      <c r="R81" s="307">
        <f>'FlV(b)'!N56</f>
        <v>0.51557947429666662</v>
      </c>
      <c r="S81" s="307">
        <f>'FlV(b)'!P56</f>
        <v>0.47905124503039226</v>
      </c>
      <c r="T81" s="320"/>
      <c r="U81" s="2503"/>
    </row>
    <row r="82" spans="1:21" ht="32.25" customHeight="1" x14ac:dyDescent="0.2">
      <c r="A82" s="2503"/>
      <c r="B82" s="3075"/>
      <c r="C82" s="3102" t="s">
        <v>154</v>
      </c>
      <c r="D82" s="3102" t="s">
        <v>862</v>
      </c>
      <c r="E82" s="3089"/>
      <c r="F82" s="3089"/>
      <c r="G82" s="3089"/>
      <c r="H82" s="3089"/>
      <c r="I82" s="3089"/>
      <c r="J82" s="3089"/>
      <c r="K82" s="3089"/>
      <c r="L82" s="3089"/>
      <c r="M82" s="3089"/>
      <c r="N82" s="3089"/>
      <c r="O82" s="3089"/>
      <c r="P82" s="3089"/>
      <c r="Q82" s="3090"/>
      <c r="R82" s="3091"/>
      <c r="S82" s="3092" t="str">
        <f>'FlV(b)'!P2</f>
        <v>Milchkuh; Fleckvieh</v>
      </c>
      <c r="T82" s="3807"/>
      <c r="U82" s="2503"/>
    </row>
    <row r="83" spans="1:21" ht="27" customHeight="1" x14ac:dyDescent="0.2">
      <c r="A83" s="2503"/>
      <c r="B83" s="3081"/>
      <c r="C83" s="3094" t="s">
        <v>149</v>
      </c>
      <c r="D83" s="3093" t="s">
        <v>169</v>
      </c>
      <c r="E83" s="3095"/>
      <c r="F83" s="3095"/>
      <c r="G83" s="3095"/>
      <c r="H83" s="3095"/>
      <c r="I83" s="3095"/>
      <c r="J83" s="3095"/>
      <c r="K83" s="3095"/>
      <c r="L83" s="3095"/>
      <c r="M83" s="3095"/>
      <c r="N83" s="3095"/>
      <c r="O83" s="3095"/>
      <c r="P83" s="3095"/>
      <c r="Q83" s="3096" t="str">
        <f>Q4</f>
        <v xml:space="preserve">  Kalenderjahr:</v>
      </c>
      <c r="R83" s="3095"/>
      <c r="S83" s="3095">
        <f>'FlV(b)'!P4</f>
        <v>2022</v>
      </c>
      <c r="T83" s="3808"/>
      <c r="U83" s="2503"/>
    </row>
    <row r="84" spans="1:21" ht="27" customHeight="1" x14ac:dyDescent="0.2">
      <c r="A84" s="2503"/>
      <c r="B84" s="3081"/>
      <c r="C84" s="3095"/>
      <c r="D84" s="3103" t="s">
        <v>142</v>
      </c>
      <c r="E84" s="3095"/>
      <c r="F84" s="3095"/>
      <c r="G84" s="3095"/>
      <c r="H84" s="3095"/>
      <c r="I84" s="3095"/>
      <c r="J84" s="3095"/>
      <c r="K84" s="3095"/>
      <c r="L84" s="3095"/>
      <c r="M84" s="3095"/>
      <c r="N84" s="3095"/>
      <c r="O84" s="3095"/>
      <c r="P84" s="3095"/>
      <c r="Q84" s="3095"/>
      <c r="R84" s="3095"/>
      <c r="S84" s="3095"/>
      <c r="T84" s="3808"/>
      <c r="U84" s="2503"/>
    </row>
    <row r="85" spans="1:21" s="4" customFormat="1" ht="12.75" x14ac:dyDescent="0.2">
      <c r="A85" s="2503"/>
      <c r="B85" s="101"/>
      <c r="C85" s="3"/>
      <c r="D85" s="3"/>
      <c r="E85" s="3"/>
      <c r="F85" s="3"/>
      <c r="G85" s="3"/>
      <c r="H85" s="3"/>
      <c r="I85" s="3"/>
      <c r="J85" s="3"/>
      <c r="K85" s="3"/>
      <c r="L85" s="3"/>
      <c r="M85" s="3"/>
      <c r="N85" s="3"/>
      <c r="O85" s="3"/>
      <c r="P85" s="3"/>
      <c r="Q85" s="3"/>
      <c r="R85" s="3"/>
      <c r="S85" s="3"/>
      <c r="T85" s="349"/>
      <c r="U85" s="2503"/>
    </row>
    <row r="86" spans="1:21" ht="30.2" customHeight="1" x14ac:dyDescent="0.2">
      <c r="A86" s="2503"/>
      <c r="B86" s="898"/>
      <c r="C86" s="899" t="s">
        <v>1077</v>
      </c>
      <c r="D86" s="900"/>
      <c r="E86" s="900"/>
      <c r="F86" s="900"/>
      <c r="G86" s="900"/>
      <c r="H86" s="900"/>
      <c r="I86" s="900"/>
      <c r="J86" s="900"/>
      <c r="K86" s="900"/>
      <c r="L86" s="900"/>
      <c r="M86" s="900"/>
      <c r="N86" s="900"/>
      <c r="O86" s="898" t="s">
        <v>98</v>
      </c>
      <c r="P86" s="902"/>
      <c r="Q86" s="903">
        <f>'FlV(b)'!K7</f>
        <v>6500</v>
      </c>
      <c r="R86" s="903">
        <f>'FlV(b)'!M7</f>
        <v>7500</v>
      </c>
      <c r="S86" s="903">
        <f>'FlV(b)'!O7</f>
        <v>8500</v>
      </c>
      <c r="T86" s="902"/>
      <c r="U86" s="2503"/>
    </row>
    <row r="87" spans="1:21" ht="30.2" customHeight="1" x14ac:dyDescent="0.2">
      <c r="A87" s="2503"/>
      <c r="B87" s="904"/>
      <c r="C87" s="911" t="str">
        <f>C7</f>
        <v>Milchpreis  (inkl. Mwst. )</v>
      </c>
      <c r="D87" s="906"/>
      <c r="E87" s="906"/>
      <c r="F87" s="906"/>
      <c r="G87" s="906"/>
      <c r="H87" s="906"/>
      <c r="I87" s="906"/>
      <c r="J87" s="906"/>
      <c r="K87" s="906"/>
      <c r="L87" s="906"/>
      <c r="M87" s="906"/>
      <c r="N87" s="906"/>
      <c r="O87" s="904" t="s">
        <v>99</v>
      </c>
      <c r="P87" s="907"/>
      <c r="Q87" s="912">
        <f>'FlV(b)'!K8</f>
        <v>0.45442499999999997</v>
      </c>
      <c r="R87" s="912">
        <f>'FlV(b)'!M8</f>
        <v>0.45442499999999997</v>
      </c>
      <c r="S87" s="912">
        <f>'FlV(b)'!O8</f>
        <v>0.45442499999999997</v>
      </c>
      <c r="T87" s="907"/>
      <c r="U87" s="2503"/>
    </row>
    <row r="88" spans="1:21" x14ac:dyDescent="0.2">
      <c r="A88" s="2503"/>
      <c r="B88" s="315"/>
      <c r="C88" s="331"/>
      <c r="D88" s="331"/>
      <c r="E88" s="331"/>
      <c r="F88" s="331"/>
      <c r="G88" s="331"/>
      <c r="H88" s="331"/>
      <c r="I88" s="331"/>
      <c r="J88" s="331"/>
      <c r="K88" s="331"/>
      <c r="L88" s="331"/>
      <c r="M88" s="331"/>
      <c r="N88" s="331"/>
      <c r="O88" s="315"/>
      <c r="P88" s="317"/>
      <c r="Q88" s="331"/>
      <c r="R88" s="331"/>
      <c r="S88" s="331"/>
      <c r="T88" s="317"/>
      <c r="U88" s="2503"/>
    </row>
    <row r="89" spans="1:21" ht="38.25" customHeight="1" x14ac:dyDescent="0.2">
      <c r="A89" s="2503"/>
      <c r="B89" s="302"/>
      <c r="C89" s="333" t="s">
        <v>157</v>
      </c>
      <c r="D89" s="303"/>
      <c r="E89" s="3"/>
      <c r="F89" s="350" t="s">
        <v>158</v>
      </c>
      <c r="G89" s="303" t="s">
        <v>159</v>
      </c>
      <c r="H89"/>
      <c r="I89" s="303"/>
      <c r="J89" s="303"/>
      <c r="K89" s="303"/>
      <c r="L89" s="303"/>
      <c r="M89" s="303"/>
      <c r="N89" s="303"/>
      <c r="O89" s="302" t="s">
        <v>160</v>
      </c>
      <c r="P89" s="304"/>
      <c r="Q89" s="530">
        <f>('FlV(b)'!K43+'FlV(b)'!Y37+'FlV(b)'!K37+'FlV(b)'!K38)/'FlV(b)'!X37</f>
        <v>18.040393535248739</v>
      </c>
      <c r="R89" s="530">
        <f>('FlV(b)'!M43+'FlV(b)'!AA37+'FlV(b)'!M37+'FlV(b)'!M38)/'FlV(b)'!Z37</f>
        <v>22.902238713554166</v>
      </c>
      <c r="S89" s="530">
        <f>('FlV(b)'!O43+'FlV(b)'!AC37+'FlV(b)'!O37+'FlV(b)'!O38)/'FlV(b)'!AB37</f>
        <v>27.076410517099415</v>
      </c>
      <c r="T89" s="304"/>
      <c r="U89" s="2503"/>
    </row>
    <row r="90" spans="1:21" s="359" customFormat="1" ht="38.25" customHeight="1" x14ac:dyDescent="0.2">
      <c r="A90" s="2503"/>
      <c r="B90" s="355"/>
      <c r="C90" s="356" t="s">
        <v>1307</v>
      </c>
      <c r="D90" s="15"/>
      <c r="E90" s="357"/>
      <c r="F90" s="357"/>
      <c r="G90" s="357"/>
      <c r="H90" s="357"/>
      <c r="I90" s="357"/>
      <c r="J90" s="357"/>
      <c r="K90" s="357"/>
      <c r="L90" s="357"/>
      <c r="M90" s="357"/>
      <c r="N90" s="357"/>
      <c r="O90" s="355"/>
      <c r="P90" s="358"/>
      <c r="Q90" s="357"/>
      <c r="R90" s="357"/>
      <c r="S90" s="357"/>
      <c r="T90" s="358"/>
      <c r="U90" s="2503"/>
    </row>
    <row r="91" spans="1:21" s="4" customFormat="1" ht="44.45" customHeight="1" x14ac:dyDescent="0.35">
      <c r="A91" s="2503"/>
      <c r="B91" s="348"/>
      <c r="C91" s="351" t="s">
        <v>165</v>
      </c>
      <c r="D91" s="331"/>
      <c r="E91" s="331"/>
      <c r="F91" s="331"/>
      <c r="G91" s="331"/>
      <c r="H91" s="331"/>
      <c r="I91" s="331"/>
      <c r="J91" s="331"/>
      <c r="K91" s="331"/>
      <c r="L91" s="331"/>
      <c r="M91" s="331"/>
      <c r="N91" s="331"/>
      <c r="O91" s="348"/>
      <c r="P91" s="317"/>
      <c r="Q91" s="331"/>
      <c r="R91" s="331"/>
      <c r="S91" s="331"/>
      <c r="T91" s="345"/>
      <c r="U91" s="2503"/>
    </row>
    <row r="92" spans="1:21" s="4" customFormat="1" ht="44.45" customHeight="1" x14ac:dyDescent="0.2">
      <c r="A92" s="2503"/>
      <c r="B92" s="101"/>
      <c r="C92" s="321" t="s">
        <v>1511</v>
      </c>
      <c r="D92" s="303"/>
      <c r="E92" s="303"/>
      <c r="F92" s="303"/>
      <c r="G92" s="303"/>
      <c r="H92" s="303"/>
      <c r="I92" s="303"/>
      <c r="J92" s="303"/>
      <c r="K92" s="303"/>
      <c r="L92" s="303"/>
      <c r="M92" s="303"/>
      <c r="N92" s="3135" t="s">
        <v>1064</v>
      </c>
      <c r="O92" s="302" t="s">
        <v>99</v>
      </c>
      <c r="P92" s="349"/>
      <c r="Q92" s="530">
        <f>(('FlV(b)'!K52-'FlV(b)'!K37-'FlV(b)'!K38-'FlV(b)'!K53)/'FlV(b)'!K7)/Stammdaten!$S$7</f>
        <v>0.41106673593607307</v>
      </c>
      <c r="R92" s="530">
        <f>(('FlV(b)'!M52-'FlV(b)'!M37-'FlV(b)'!M38-'FlV(b)'!M53)/'FlV(b)'!M7)/Stammdaten!S7</f>
        <v>0.37931289991577877</v>
      </c>
      <c r="S92" s="530">
        <f>(('FlV(b)'!O52-'FlV(b)'!O37-'FlV(b)'!O38-'FlV(b)'!O53)/'FlV(b)'!O7)/Stammdaten!S7</f>
        <v>0.35672271996687266</v>
      </c>
      <c r="T92" s="349"/>
      <c r="U92" s="2503"/>
    </row>
    <row r="93" spans="1:21" s="4" customFormat="1" ht="33" customHeight="1" x14ac:dyDescent="0.2">
      <c r="A93" s="2503"/>
      <c r="B93" s="323"/>
      <c r="C93" s="20"/>
      <c r="D93" s="20"/>
      <c r="E93" s="20"/>
      <c r="F93" s="20"/>
      <c r="G93" s="20"/>
      <c r="H93" s="20"/>
      <c r="I93" s="20"/>
      <c r="J93" s="20"/>
      <c r="K93" s="20"/>
      <c r="L93" s="20"/>
      <c r="M93" s="20"/>
      <c r="N93" s="3136" t="str">
        <f>IF(Stammdaten!$AH$13=1,"mit Mwst.","")</f>
        <v>mit Mwst.</v>
      </c>
      <c r="O93" s="323"/>
      <c r="P93" s="309"/>
      <c r="Q93" s="307">
        <f>IF(Stammdaten!AH13=1,(('FlV(b)'!K52-'FlV(b)'!K37-'FlV(b)'!K38-'FlV(b)'!K53)/'FlV(b)'!K7),"")</f>
        <v>0.45011807585000002</v>
      </c>
      <c r="R93" s="307">
        <f>IF(Stammdaten!AH13=1,(('FlV(b)'!M52-'FlV(b)'!M37-'FlV(b)'!M38-'FlV(b)'!M53)/'FlV(b)'!M7),"")</f>
        <v>0.41534762540777775</v>
      </c>
      <c r="S93" s="307">
        <f>IF(Stammdaten!AH13=1,(('FlV(b)'!O52-'FlV(b)'!O37-'FlV(b)'!O38-'FlV(b)'!O53)/'FlV(b)'!O7),"")</f>
        <v>0.39061137836372556</v>
      </c>
      <c r="T93" s="309"/>
      <c r="U93" s="2503"/>
    </row>
    <row r="94" spans="1:21" s="4" customFormat="1" ht="12.75" x14ac:dyDescent="0.2">
      <c r="A94" s="2503"/>
      <c r="B94" s="2503"/>
      <c r="C94" s="2503"/>
      <c r="D94" s="2503"/>
      <c r="E94" s="2503"/>
      <c r="F94" s="2503"/>
      <c r="G94" s="2503"/>
      <c r="H94" s="2503"/>
      <c r="I94" s="2503"/>
      <c r="J94" s="2503"/>
      <c r="K94" s="2503"/>
      <c r="L94" s="2503"/>
      <c r="M94" s="2503"/>
      <c r="N94" s="2503"/>
      <c r="O94" s="2503"/>
      <c r="P94" s="2503"/>
      <c r="Q94" s="2503"/>
      <c r="R94" s="2503"/>
      <c r="S94" s="2503"/>
      <c r="T94" s="2503"/>
      <c r="U94" s="2503"/>
    </row>
    <row r="95" spans="1:21" s="4" customFormat="1" ht="12.75" x14ac:dyDescent="0.2"/>
    <row r="96" spans="1:21" s="4" customFormat="1" ht="12.75" x14ac:dyDescent="0.2"/>
    <row r="97" s="4" customFormat="1" ht="12.75" x14ac:dyDescent="0.2"/>
    <row r="98" s="4" customFormat="1" ht="12.75" x14ac:dyDescent="0.2"/>
    <row r="99" s="4" customFormat="1" ht="12.75" x14ac:dyDescent="0.2"/>
    <row r="100" s="4" customFormat="1" ht="12.75" x14ac:dyDescent="0.2"/>
    <row r="101" s="4" customFormat="1" ht="12.75" x14ac:dyDescent="0.2"/>
    <row r="102" s="4" customFormat="1" ht="12.75" x14ac:dyDescent="0.2"/>
    <row r="103" s="4" customFormat="1" ht="12.75" x14ac:dyDescent="0.2"/>
    <row r="104" s="4" customFormat="1" ht="12.75" x14ac:dyDescent="0.2"/>
    <row r="105" s="4" customFormat="1" ht="12.75" x14ac:dyDescent="0.2"/>
    <row r="106" s="4" customFormat="1" ht="12.75" x14ac:dyDescent="0.2"/>
    <row r="107" s="4" customFormat="1" ht="12.75" x14ac:dyDescent="0.2"/>
    <row r="108" s="4" customFormat="1" ht="12.75" x14ac:dyDescent="0.2"/>
    <row r="109" s="4" customFormat="1" ht="12.75" x14ac:dyDescent="0.2"/>
    <row r="110" s="4" customFormat="1" ht="12.75" x14ac:dyDescent="0.2"/>
    <row r="111" s="4" customFormat="1" ht="12.75" x14ac:dyDescent="0.2"/>
    <row r="112" s="4" customFormat="1" ht="12.75" x14ac:dyDescent="0.2"/>
    <row r="113" s="4" customFormat="1" ht="12.75" x14ac:dyDescent="0.2"/>
    <row r="114" s="4" customFormat="1" ht="12.75" x14ac:dyDescent="0.2"/>
    <row r="115" s="4" customFormat="1" ht="12.75" x14ac:dyDescent="0.2"/>
    <row r="116" s="4" customFormat="1" ht="12.75" x14ac:dyDescent="0.2"/>
    <row r="117" s="4" customFormat="1" ht="12.75" x14ac:dyDescent="0.2"/>
    <row r="118" s="4" customFormat="1" ht="12.75" x14ac:dyDescent="0.2"/>
    <row r="119" s="4" customFormat="1" ht="12.75" x14ac:dyDescent="0.2"/>
    <row r="120" s="4" customFormat="1" ht="12.75" x14ac:dyDescent="0.2"/>
    <row r="121" s="4" customFormat="1" ht="12.75" x14ac:dyDescent="0.2"/>
    <row r="122" s="4" customFormat="1" ht="12.75" x14ac:dyDescent="0.2"/>
    <row r="123" s="4" customFormat="1" ht="12.75" x14ac:dyDescent="0.2"/>
    <row r="124" s="4" customFormat="1" ht="12.75" x14ac:dyDescent="0.2"/>
    <row r="125" s="4" customFormat="1" ht="12.75" x14ac:dyDescent="0.2"/>
    <row r="126" s="4" customFormat="1" ht="12.75" x14ac:dyDescent="0.2"/>
    <row r="127" s="4" customFormat="1" ht="12.75" x14ac:dyDescent="0.2"/>
    <row r="128" s="4" customFormat="1" ht="12.75" x14ac:dyDescent="0.2"/>
    <row r="129" s="4" customFormat="1" ht="12.75" x14ac:dyDescent="0.2"/>
    <row r="130" s="4" customFormat="1" ht="12.75" x14ac:dyDescent="0.2"/>
    <row r="131" s="4" customFormat="1" ht="12.75" x14ac:dyDescent="0.2"/>
    <row r="132" s="4" customFormat="1" ht="12.75" x14ac:dyDescent="0.2"/>
    <row r="133" s="4" customFormat="1" ht="12.75" x14ac:dyDescent="0.2"/>
    <row r="134" s="4" customFormat="1" ht="12.75" x14ac:dyDescent="0.2"/>
    <row r="135" s="4" customFormat="1" ht="12.75" x14ac:dyDescent="0.2"/>
    <row r="136" s="4" customFormat="1" ht="12.75" x14ac:dyDescent="0.2"/>
    <row r="137" s="4" customFormat="1" ht="12.75" x14ac:dyDescent="0.2"/>
    <row r="138" s="4" customFormat="1" ht="12.75" x14ac:dyDescent="0.2"/>
    <row r="139" s="4" customFormat="1" ht="12.75" x14ac:dyDescent="0.2"/>
    <row r="140" s="4" customFormat="1" ht="12.75" x14ac:dyDescent="0.2"/>
    <row r="141" s="4" customFormat="1" ht="12.75" x14ac:dyDescent="0.2"/>
    <row r="142" s="4" customFormat="1" ht="12.75" x14ac:dyDescent="0.2"/>
    <row r="143" s="4" customFormat="1" ht="12.75" x14ac:dyDescent="0.2"/>
    <row r="144" s="4" customFormat="1" ht="12.75" x14ac:dyDescent="0.2"/>
    <row r="145" s="4" customFormat="1" ht="12.75" x14ac:dyDescent="0.2"/>
  </sheetData>
  <sheetProtection sheet="1" objects="1" scenarios="1"/>
  <phoneticPr fontId="0" type="noConversion"/>
  <printOptions horizontalCentered="1" verticalCentered="1"/>
  <pageMargins left="0.59055118110236227" right="0.59055118110236227" top="0.59055118110236227" bottom="0.86614173228346458" header="0.47244094488188981" footer="0.39370078740157483"/>
  <pageSetup paperSize="9" scale="87" firstPageNumber="16" orientation="landscape" useFirstPageNumber="1" verticalDpi="300" r:id="rId1"/>
  <headerFooter alignWithMargins="0">
    <oddFooter>&amp;LLEL Schwäb. Gmünd
&amp;D&amp;C&amp;"Arial,Fett"&amp;12&amp;P&amp;RKalkulationsdaten Milchviehhaltung;
&amp;F  &amp;A</oddFooter>
  </headerFooter>
  <rowBreaks count="5" manualBreakCount="5">
    <brk id="18" min="1" max="19" man="1"/>
    <brk id="34" min="1" max="19" man="1"/>
    <brk id="50" min="1" max="19" man="1"/>
    <brk id="69" min="1" max="19" man="1"/>
    <brk id="81" max="16383" man="1"/>
  </rowBreaks>
  <colBreaks count="1" manualBreakCount="1">
    <brk id="20"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theme="1" tint="0.34998626667073579"/>
    <pageSetUpPr fitToPage="1"/>
  </sheetPr>
  <dimension ref="A1:BH113"/>
  <sheetViews>
    <sheetView showGridLines="0" showZeros="0" zoomScaleNormal="100" workbookViewId="0">
      <pane xSplit="9" ySplit="11" topLeftCell="J72" activePane="bottomRight" state="frozen"/>
      <selection activeCell="Q27" sqref="Q27"/>
      <selection pane="topRight" activeCell="Q27" sqref="Q27"/>
      <selection pane="bottomLeft" activeCell="Q27" sqref="Q27"/>
      <selection pane="bottomRight" activeCell="V87" sqref="V87:V88"/>
    </sheetView>
  </sheetViews>
  <sheetFormatPr baseColWidth="10" defaultColWidth="11.5703125" defaultRowHeight="12.75" x14ac:dyDescent="0.2"/>
  <cols>
    <col min="1" max="1" width="1.140625" style="105" customWidth="1"/>
    <col min="2" max="2" width="1" style="226" customWidth="1"/>
    <col min="3" max="3" width="1.42578125" style="111" customWidth="1"/>
    <col min="4" max="4" width="4.85546875" style="111" customWidth="1"/>
    <col min="5" max="5" width="10.85546875" style="111" customWidth="1"/>
    <col min="6" max="6" width="8.28515625" style="111" customWidth="1"/>
    <col min="7" max="7" width="8.85546875" style="111" customWidth="1"/>
    <col min="8" max="8" width="18.140625" style="111" customWidth="1"/>
    <col min="9" max="9" width="10.140625" style="112" customWidth="1"/>
    <col min="10" max="10" width="12.140625" style="111" customWidth="1"/>
    <col min="11" max="11" width="12.140625" style="152" customWidth="1"/>
    <col min="12" max="12" width="12.140625" style="111" customWidth="1"/>
    <col min="13" max="13" width="12.140625" style="152" customWidth="1"/>
    <col min="14" max="14" width="12.7109375" style="111" customWidth="1"/>
    <col min="15" max="15" width="12.140625" style="152" customWidth="1"/>
    <col min="16" max="16" width="2" style="105" customWidth="1"/>
    <col min="17" max="18" width="9.28515625" style="244" customWidth="1"/>
    <col min="19" max="19" width="11.5703125" style="244" customWidth="1"/>
    <col min="20" max="20" width="4.85546875" style="244" customWidth="1"/>
    <col min="21" max="21" width="13" style="157" customWidth="1"/>
    <col min="22" max="22" width="9.28515625" style="253" customWidth="1"/>
    <col min="23" max="23" width="12.140625" style="105" customWidth="1"/>
    <col min="24" max="24" width="13.7109375" style="105" customWidth="1"/>
    <col min="25" max="25" width="7.5703125" style="105" customWidth="1"/>
    <col min="26" max="26" width="11.5703125" style="105" customWidth="1"/>
    <col min="27" max="27" width="4.140625" style="105" customWidth="1"/>
    <col min="28" max="36" width="11.5703125" style="105" customWidth="1"/>
    <col min="37" max="37" width="11.85546875" style="105" customWidth="1"/>
    <col min="38" max="38" width="11.5703125" style="105" customWidth="1"/>
    <col min="39" max="39" width="15" style="105" customWidth="1"/>
    <col min="40" max="16384" width="11.5703125" style="105"/>
  </cols>
  <sheetData>
    <row r="1" spans="1:37" ht="22.15" customHeight="1" x14ac:dyDescent="0.2">
      <c r="A1" s="2503"/>
      <c r="B1" s="2503"/>
      <c r="C1" s="2503"/>
      <c r="D1" s="2503"/>
      <c r="E1" s="2503"/>
      <c r="F1" s="2503"/>
      <c r="G1" s="2503"/>
      <c r="H1" s="2503"/>
      <c r="I1" s="2503"/>
      <c r="J1" s="2503"/>
      <c r="K1" s="2503"/>
      <c r="L1" s="2503"/>
      <c r="M1" s="2503"/>
      <c r="N1" s="2503"/>
      <c r="O1" s="2503"/>
      <c r="P1" s="2503"/>
    </row>
    <row r="2" spans="1:37" ht="20.25" customHeight="1" x14ac:dyDescent="0.2">
      <c r="A2" s="2503"/>
      <c r="C2" s="526" t="s">
        <v>1111</v>
      </c>
      <c r="D2" s="105"/>
      <c r="E2" s="105"/>
      <c r="F2" s="105"/>
      <c r="G2" s="105"/>
      <c r="H2" s="105"/>
      <c r="I2"/>
      <c r="J2" s="444" t="s">
        <v>1130</v>
      </c>
      <c r="M2"/>
      <c r="N2" s="109"/>
      <c r="O2" s="529" t="s">
        <v>173</v>
      </c>
      <c r="P2" s="2503"/>
      <c r="Q2" s="227"/>
      <c r="R2" s="227"/>
      <c r="S2" s="227"/>
      <c r="T2" s="227"/>
      <c r="U2" s="228"/>
      <c r="V2" s="229"/>
    </row>
    <row r="3" spans="1:37" ht="20.25" customHeight="1" x14ac:dyDescent="0.2">
      <c r="A3" s="2503"/>
      <c r="C3" s="114"/>
      <c r="D3" s="105"/>
      <c r="E3" s="105"/>
      <c r="F3" s="105"/>
      <c r="G3" s="105"/>
      <c r="H3" s="105"/>
      <c r="I3"/>
      <c r="J3" s="105"/>
      <c r="K3" s="291"/>
      <c r="L3"/>
      <c r="M3"/>
      <c r="N3" s="109"/>
      <c r="O3" s="109"/>
      <c r="P3" s="2503"/>
      <c r="Q3" s="227"/>
      <c r="R3" s="227"/>
      <c r="S3" s="227"/>
      <c r="T3" s="227"/>
      <c r="U3" s="228"/>
      <c r="V3" s="229"/>
    </row>
    <row r="4" spans="1:37" ht="25.5" customHeight="1" x14ac:dyDescent="0.2">
      <c r="A4" s="2503"/>
      <c r="C4" s="159" t="s">
        <v>876</v>
      </c>
      <c r="D4" s="164"/>
      <c r="E4" s="3822">
        <f>Stammdaten!D4</f>
        <v>44531</v>
      </c>
      <c r="F4"/>
      <c r="G4" s="108"/>
      <c r="J4" s="444" t="s">
        <v>1009</v>
      </c>
      <c r="M4"/>
      <c r="N4" s="105"/>
      <c r="O4" s="78">
        <f>Stammdaten!AI5</f>
        <v>2022</v>
      </c>
      <c r="P4" s="2503"/>
      <c r="Q4" s="230"/>
      <c r="R4" s="231"/>
      <c r="S4" s="108"/>
      <c r="T4" s="108"/>
      <c r="U4" s="232"/>
      <c r="V4" s="233"/>
      <c r="W4" s="234"/>
      <c r="X4" s="235"/>
    </row>
    <row r="5" spans="1:37" ht="12.2" customHeight="1" thickBot="1" x14ac:dyDescent="0.25">
      <c r="A5" s="2503"/>
      <c r="C5" s="106"/>
      <c r="D5" s="105"/>
      <c r="E5" s="108"/>
      <c r="F5" s="110"/>
      <c r="G5" s="108"/>
      <c r="J5" s="105"/>
      <c r="K5" s="107"/>
      <c r="L5" s="108"/>
      <c r="M5"/>
      <c r="N5" s="105"/>
      <c r="O5" s="77"/>
      <c r="P5" s="2503"/>
      <c r="Q5" s="230"/>
      <c r="R5" s="231"/>
      <c r="S5" s="108"/>
      <c r="T5" s="108"/>
      <c r="U5" s="232"/>
      <c r="V5" s="233"/>
      <c r="W5" s="234"/>
      <c r="X5" s="235"/>
    </row>
    <row r="6" spans="1:37" s="236" customFormat="1" ht="22.7" customHeight="1" x14ac:dyDescent="0.2">
      <c r="A6" s="2503"/>
      <c r="B6" s="226"/>
      <c r="C6" s="1354"/>
      <c r="D6" s="1355" t="s">
        <v>229</v>
      </c>
      <c r="E6" s="1356"/>
      <c r="F6" s="1355"/>
      <c r="G6" s="1355"/>
      <c r="H6" s="1355"/>
      <c r="I6" s="1357"/>
      <c r="J6" s="1393" t="s">
        <v>1074</v>
      </c>
      <c r="K6" s="1394"/>
      <c r="L6" s="1395" t="s">
        <v>1075</v>
      </c>
      <c r="M6" s="1396"/>
      <c r="N6" s="1397" t="s">
        <v>1076</v>
      </c>
      <c r="O6" s="2031"/>
      <c r="P6" s="2503"/>
      <c r="Q6"/>
      <c r="R6"/>
      <c r="S6"/>
      <c r="T6"/>
      <c r="U6"/>
      <c r="V6"/>
      <c r="W6"/>
      <c r="X6"/>
      <c r="Y6"/>
      <c r="Z6"/>
      <c r="AA6"/>
      <c r="AB6"/>
      <c r="AC6"/>
      <c r="AD6"/>
      <c r="AE6"/>
      <c r="AF6"/>
      <c r="AG6"/>
      <c r="AH6"/>
      <c r="AI6"/>
      <c r="AJ6"/>
    </row>
    <row r="7" spans="1:37" s="236" customFormat="1" ht="15.75" x14ac:dyDescent="0.2">
      <c r="A7" s="2503"/>
      <c r="B7" s="226"/>
      <c r="C7" s="1358"/>
      <c r="D7" s="115" t="s">
        <v>1077</v>
      </c>
      <c r="E7" s="116"/>
      <c r="F7" s="116"/>
      <c r="G7" s="116"/>
      <c r="H7" s="116"/>
      <c r="I7" s="1359" t="s">
        <v>1132</v>
      </c>
      <c r="J7" s="1398">
        <v>7500</v>
      </c>
      <c r="K7" s="421"/>
      <c r="L7" s="76">
        <v>8500</v>
      </c>
      <c r="M7" s="831"/>
      <c r="N7" s="76">
        <v>9500</v>
      </c>
      <c r="O7" s="2032"/>
      <c r="P7" s="2503"/>
      <c r="Q7"/>
      <c r="R7"/>
      <c r="S7"/>
      <c r="T7"/>
      <c r="U7"/>
      <c r="V7"/>
      <c r="W7"/>
      <c r="X7"/>
      <c r="Y7"/>
      <c r="Z7"/>
      <c r="AA7"/>
      <c r="AB7"/>
      <c r="AC7"/>
      <c r="AD7"/>
      <c r="AE7"/>
      <c r="AF7"/>
      <c r="AG7"/>
      <c r="AH7"/>
      <c r="AI7"/>
      <c r="AJ7"/>
      <c r="AK7"/>
    </row>
    <row r="8" spans="1:37" s="236" customFormat="1" ht="15" x14ac:dyDescent="0.2">
      <c r="A8" s="2503"/>
      <c r="B8" s="226"/>
      <c r="C8" s="1360"/>
      <c r="D8" s="24" t="s">
        <v>1133</v>
      </c>
      <c r="E8" s="422"/>
      <c r="F8" s="135"/>
      <c r="G8" s="135"/>
      <c r="H8" s="135"/>
      <c r="I8" s="1361"/>
      <c r="J8" s="1399">
        <v>3000</v>
      </c>
      <c r="K8" s="423"/>
      <c r="L8" s="432">
        <v>3750</v>
      </c>
      <c r="M8" s="832"/>
      <c r="N8" s="432">
        <v>4500</v>
      </c>
      <c r="O8" s="2033"/>
      <c r="P8" s="2503"/>
      <c r="Q8"/>
      <c r="R8"/>
      <c r="S8"/>
      <c r="T8"/>
      <c r="U8"/>
      <c r="V8"/>
      <c r="W8"/>
      <c r="X8"/>
      <c r="Y8"/>
      <c r="Z8"/>
      <c r="AA8"/>
      <c r="AB8"/>
      <c r="AC8"/>
      <c r="AD8"/>
      <c r="AE8"/>
      <c r="AF8"/>
      <c r="AG8"/>
      <c r="AH8"/>
      <c r="AI8"/>
      <c r="AJ8"/>
    </row>
    <row r="9" spans="1:37" s="236" customFormat="1" ht="13.7" customHeight="1" x14ac:dyDescent="0.2">
      <c r="A9" s="2503"/>
      <c r="B9" s="226"/>
      <c r="C9" s="1362"/>
      <c r="D9" s="22"/>
      <c r="E9" s="118"/>
      <c r="F9" s="119"/>
      <c r="G9" s="119"/>
      <c r="H9" s="119"/>
      <c r="I9" s="1363"/>
      <c r="J9" s="1400" t="s">
        <v>1134</v>
      </c>
      <c r="K9" s="425" t="str">
        <f>IF(Stammdaten!$S$7=1,"ohne Mwst.","mit Mwst.")</f>
        <v>mit Mwst.</v>
      </c>
      <c r="L9" s="833" t="s">
        <v>1134</v>
      </c>
      <c r="M9" s="834" t="str">
        <f>IF(Stammdaten!$S$7=1,"ohne Mwst.","mit Mwst.")</f>
        <v>mit Mwst.</v>
      </c>
      <c r="N9" s="429" t="s">
        <v>1134</v>
      </c>
      <c r="O9" s="2034" t="str">
        <f>IF(Stammdaten!$S$7=1,"ohne Mwst.","mit Mwst.")</f>
        <v>mit Mwst.</v>
      </c>
      <c r="P9" s="2503"/>
      <c r="Q9"/>
      <c r="R9"/>
      <c r="S9"/>
      <c r="T9"/>
      <c r="U9"/>
      <c r="V9"/>
      <c r="W9"/>
      <c r="X9"/>
      <c r="Y9"/>
      <c r="Z9"/>
      <c r="AA9"/>
      <c r="AB9"/>
      <c r="AC9"/>
      <c r="AD9"/>
      <c r="AE9"/>
      <c r="AF9"/>
      <c r="AG9"/>
      <c r="AH9"/>
      <c r="AI9"/>
      <c r="AJ9"/>
    </row>
    <row r="10" spans="1:37" s="236" customFormat="1" ht="13.7" customHeight="1" x14ac:dyDescent="0.2">
      <c r="A10" s="2503"/>
      <c r="B10" s="226"/>
      <c r="C10" s="1362"/>
      <c r="D10" s="22"/>
      <c r="E10" s="118"/>
      <c r="F10" s="119"/>
      <c r="G10" s="119"/>
      <c r="H10" s="119"/>
      <c r="I10" s="1363"/>
      <c r="J10" s="1401" t="s">
        <v>1138</v>
      </c>
      <c r="K10" s="424"/>
      <c r="L10" s="835" t="s">
        <v>1138</v>
      </c>
      <c r="M10" s="836"/>
      <c r="N10" s="431" t="s">
        <v>1138</v>
      </c>
      <c r="O10" s="2035"/>
      <c r="P10" s="2503"/>
      <c r="Q10"/>
      <c r="R10"/>
      <c r="S10"/>
      <c r="T10"/>
      <c r="U10"/>
      <c r="V10"/>
      <c r="W10"/>
      <c r="X10"/>
      <c r="Y10"/>
      <c r="Z10"/>
      <c r="AA10"/>
      <c r="AB10"/>
      <c r="AC10"/>
      <c r="AD10"/>
      <c r="AE10"/>
      <c r="AF10"/>
      <c r="AG10"/>
      <c r="AH10"/>
      <c r="AI10"/>
      <c r="AJ10"/>
    </row>
    <row r="11" spans="1:37" s="236" customFormat="1" ht="13.7" customHeight="1" x14ac:dyDescent="0.2">
      <c r="A11" s="2503"/>
      <c r="B11" s="226"/>
      <c r="C11" s="1362"/>
      <c r="D11" s="22"/>
      <c r="E11" s="118"/>
      <c r="F11" s="119"/>
      <c r="G11" s="119"/>
      <c r="H11" s="119"/>
      <c r="I11" s="1363"/>
      <c r="J11" s="1402" t="s">
        <v>1139</v>
      </c>
      <c r="K11" s="424"/>
      <c r="L11" s="837" t="s">
        <v>1139</v>
      </c>
      <c r="M11" s="836"/>
      <c r="N11" s="430" t="s">
        <v>1139</v>
      </c>
      <c r="O11" s="2035"/>
      <c r="P11" s="2503"/>
      <c r="Q11"/>
      <c r="R11"/>
      <c r="S11"/>
      <c r="T11"/>
      <c r="U11"/>
      <c r="V11"/>
      <c r="W11"/>
      <c r="X11"/>
      <c r="Y11"/>
      <c r="Z11"/>
      <c r="AA11"/>
      <c r="AB11"/>
      <c r="AC11"/>
      <c r="AD11"/>
      <c r="AE11"/>
      <c r="AF11"/>
      <c r="AG11"/>
      <c r="AH11"/>
      <c r="AI11"/>
      <c r="AJ11"/>
    </row>
    <row r="12" spans="1:37" s="236" customFormat="1" ht="18.75" customHeight="1" x14ac:dyDescent="0.2">
      <c r="A12" s="2503"/>
      <c r="B12" s="226"/>
      <c r="C12" s="1358"/>
      <c r="D12" s="115" t="s">
        <v>1140</v>
      </c>
      <c r="E12" s="116"/>
      <c r="F12" s="113"/>
      <c r="G12" s="202"/>
      <c r="H12" s="158" t="s">
        <v>1011</v>
      </c>
      <c r="I12" s="1364" t="s">
        <v>1141</v>
      </c>
      <c r="J12" s="1403"/>
      <c r="K12" s="140">
        <f>K13*J7</f>
        <v>3375.3374999999996</v>
      </c>
      <c r="L12" s="838"/>
      <c r="M12" s="839">
        <f>M13*L7</f>
        <v>3825.3824999999997</v>
      </c>
      <c r="N12" s="122"/>
      <c r="O12" s="2036">
        <f>O13*N7</f>
        <v>4275.4274999999998</v>
      </c>
      <c r="P12" s="2503"/>
      <c r="Q12"/>
      <c r="R12"/>
      <c r="S12"/>
      <c r="T12"/>
      <c r="U12"/>
      <c r="V12"/>
      <c r="W12"/>
      <c r="X12"/>
      <c r="Y12"/>
      <c r="Z12"/>
      <c r="AA12"/>
      <c r="AB12"/>
      <c r="AC12"/>
      <c r="AD12"/>
      <c r="AE12"/>
      <c r="AF12"/>
      <c r="AG12"/>
      <c r="AH12"/>
      <c r="AI12"/>
      <c r="AJ12"/>
    </row>
    <row r="13" spans="1:37" ht="15" customHeight="1" x14ac:dyDescent="0.2">
      <c r="A13" s="2503"/>
      <c r="C13" s="1365"/>
      <c r="D13" s="80" t="s">
        <v>1142</v>
      </c>
      <c r="E13" s="127"/>
      <c r="F13" s="80"/>
      <c r="G13" s="75"/>
      <c r="H13" s="75"/>
      <c r="I13" s="1366" t="s">
        <v>1143</v>
      </c>
      <c r="J13" s="1404">
        <f>L13</f>
        <v>0.41099999999999998</v>
      </c>
      <c r="K13" s="395">
        <f>M13</f>
        <v>0.45004499999999997</v>
      </c>
      <c r="L13" s="840">
        <f>M13/(1+Stammdaten!P7)</f>
        <v>0.41099999999999998</v>
      </c>
      <c r="M13" s="841">
        <f>Preise!N13+Preise!N20</f>
        <v>0.45004499999999997</v>
      </c>
      <c r="N13" s="518">
        <f>L13</f>
        <v>0.41099999999999998</v>
      </c>
      <c r="O13" s="2037">
        <f>M13</f>
        <v>0.45004499999999997</v>
      </c>
      <c r="P13" s="2503"/>
      <c r="Q13"/>
      <c r="R13"/>
      <c r="S13"/>
      <c r="T13"/>
      <c r="U13"/>
      <c r="V13"/>
      <c r="W13"/>
      <c r="X13"/>
      <c r="Y13"/>
      <c r="Z13"/>
      <c r="AA13"/>
      <c r="AB13"/>
      <c r="AC13"/>
      <c r="AD13"/>
      <c r="AE13"/>
      <c r="AF13"/>
      <c r="AG13"/>
      <c r="AH13"/>
      <c r="AI13"/>
      <c r="AJ13"/>
    </row>
    <row r="14" spans="1:37" s="236" customFormat="1" ht="15.75" x14ac:dyDescent="0.2">
      <c r="A14" s="2503"/>
      <c r="B14" s="226"/>
      <c r="C14" s="1362"/>
      <c r="D14" s="128" t="s">
        <v>1144</v>
      </c>
      <c r="E14" s="129"/>
      <c r="F14" s="130"/>
      <c r="G14" s="111"/>
      <c r="H14" s="111"/>
      <c r="I14" s="1367"/>
      <c r="J14" s="1371"/>
      <c r="K14" s="130"/>
      <c r="L14" s="842"/>
      <c r="M14" s="843"/>
      <c r="N14" s="126"/>
      <c r="O14" s="1367"/>
      <c r="P14" s="2503"/>
      <c r="Q14"/>
      <c r="R14"/>
      <c r="S14"/>
      <c r="T14"/>
      <c r="U14"/>
      <c r="V14"/>
      <c r="W14"/>
      <c r="X14"/>
      <c r="Y14"/>
      <c r="Z14"/>
      <c r="AA14"/>
      <c r="AB14"/>
      <c r="AC14"/>
      <c r="AD14"/>
      <c r="AE14"/>
      <c r="AF14"/>
      <c r="AG14"/>
      <c r="AH14"/>
      <c r="AI14"/>
      <c r="AJ14"/>
    </row>
    <row r="15" spans="1:37" s="236" customFormat="1" ht="18.75" customHeight="1" x14ac:dyDescent="0.2">
      <c r="A15" s="2503"/>
      <c r="B15" s="226"/>
      <c r="C15" s="1362"/>
      <c r="D15" s="128"/>
      <c r="E15" s="22" t="s">
        <v>1145</v>
      </c>
      <c r="F15" s="204"/>
      <c r="G15" s="111"/>
      <c r="H15" s="111"/>
      <c r="I15" s="1368" t="s">
        <v>1141</v>
      </c>
      <c r="J15" s="1371"/>
      <c r="K15" s="125">
        <f>J17*K16</f>
        <v>135.23249999999999</v>
      </c>
      <c r="L15" s="842"/>
      <c r="M15" s="844">
        <f>L17*M16</f>
        <v>135.23249999999999</v>
      </c>
      <c r="N15" s="126"/>
      <c r="O15" s="1405">
        <f>N17*O16</f>
        <v>135.23249999999999</v>
      </c>
      <c r="P15" s="2503"/>
      <c r="Q15"/>
      <c r="R15"/>
      <c r="S15"/>
      <c r="T15" s="237"/>
      <c r="U15" s="108"/>
      <c r="V15" s="108"/>
      <c r="W15" s="108"/>
      <c r="X15" s="108"/>
      <c r="Y15" s="108"/>
      <c r="Z15" s="108"/>
      <c r="AA15" s="108"/>
      <c r="AB15" s="108"/>
      <c r="AC15" s="108"/>
      <c r="AD15" s="108"/>
      <c r="AE15" s="108"/>
    </row>
    <row r="16" spans="1:37" s="236" customFormat="1" ht="18.75" customHeight="1" x14ac:dyDescent="0.2">
      <c r="A16" s="2503"/>
      <c r="B16" s="226"/>
      <c r="C16" s="1362"/>
      <c r="D16" s="111"/>
      <c r="E16" s="119"/>
      <c r="F16" s="22" t="s">
        <v>765</v>
      </c>
      <c r="G16" s="111"/>
      <c r="H16" s="111"/>
      <c r="I16" s="1368" t="s">
        <v>1146</v>
      </c>
      <c r="J16" s="1406"/>
      <c r="K16" s="398">
        <f>M16</f>
        <v>135.23249999999999</v>
      </c>
      <c r="L16" s="1407"/>
      <c r="M16" s="845">
        <f>Preise!N39</f>
        <v>135.23249999999999</v>
      </c>
      <c r="N16" s="28"/>
      <c r="O16" s="2038">
        <f>M16</f>
        <v>135.23249999999999</v>
      </c>
      <c r="P16" s="2503"/>
      <c r="Q16"/>
      <c r="R16"/>
      <c r="S16"/>
      <c r="T16" s="237"/>
      <c r="U16" s="108"/>
      <c r="V16" s="108"/>
      <c r="W16" s="108"/>
      <c r="X16" s="108"/>
      <c r="Y16" s="108"/>
      <c r="Z16" s="108"/>
      <c r="AA16" s="108"/>
      <c r="AB16" s="108"/>
      <c r="AC16" s="108"/>
      <c r="AD16" s="108"/>
      <c r="AE16" s="108"/>
    </row>
    <row r="17" spans="1:38" s="236" customFormat="1" ht="16.5" customHeight="1" x14ac:dyDescent="0.2">
      <c r="A17" s="2503"/>
      <c r="B17" s="226"/>
      <c r="C17" s="1362"/>
      <c r="D17" s="111"/>
      <c r="E17" s="130"/>
      <c r="F17" s="22" t="s">
        <v>513</v>
      </c>
      <c r="G17" s="111"/>
      <c r="H17" s="111"/>
      <c r="I17" s="1369" t="s">
        <v>1147</v>
      </c>
      <c r="J17" s="1408">
        <v>1</v>
      </c>
      <c r="K17" s="132"/>
      <c r="L17" s="160">
        <v>1</v>
      </c>
      <c r="M17" s="846"/>
      <c r="N17" s="160">
        <v>1</v>
      </c>
      <c r="O17" s="2039"/>
      <c r="P17" s="2503"/>
      <c r="Q17"/>
      <c r="R17"/>
      <c r="S17"/>
      <c r="T17" s="238"/>
      <c r="U17" s="108"/>
      <c r="V17" s="108"/>
      <c r="W17" s="108"/>
      <c r="X17" s="108"/>
      <c r="Y17" s="108"/>
      <c r="Z17" s="108"/>
      <c r="AA17" s="108"/>
      <c r="AB17" s="108"/>
      <c r="AC17" s="108"/>
      <c r="AD17" s="108"/>
      <c r="AE17" s="108"/>
    </row>
    <row r="18" spans="1:38" s="236" customFormat="1" ht="16.5" customHeight="1" x14ac:dyDescent="0.2">
      <c r="A18" s="2503"/>
      <c r="B18" s="226"/>
      <c r="C18" s="1362"/>
      <c r="D18" s="111"/>
      <c r="E18" s="124" t="s">
        <v>1148</v>
      </c>
      <c r="F18" s="124" t="s">
        <v>1149</v>
      </c>
      <c r="G18" s="111"/>
      <c r="H18" s="111"/>
      <c r="I18" s="1368" t="s">
        <v>1141</v>
      </c>
      <c r="J18" s="1409"/>
      <c r="K18" s="125">
        <f>K19/J20</f>
        <v>436.1896000000001</v>
      </c>
      <c r="L18" s="848"/>
      <c r="M18" s="844">
        <f>M19/L20</f>
        <v>436.1896000000001</v>
      </c>
      <c r="N18" s="133"/>
      <c r="O18" s="1405">
        <f>O19/N20</f>
        <v>436.1896000000001</v>
      </c>
      <c r="P18" s="2503"/>
      <c r="Q18"/>
      <c r="R18"/>
      <c r="S18" s="239"/>
      <c r="T18" s="239"/>
      <c r="U18" s="108"/>
      <c r="V18" s="108"/>
    </row>
    <row r="19" spans="1:38" s="236" customFormat="1" ht="15.6" customHeight="1" x14ac:dyDescent="0.2">
      <c r="A19" s="2503"/>
      <c r="B19" s="226"/>
      <c r="C19" s="1362"/>
      <c r="D19" s="111"/>
      <c r="E19" s="119"/>
      <c r="F19" s="22" t="s">
        <v>1150</v>
      </c>
      <c r="G19" s="111"/>
      <c r="H19" s="3800">
        <v>3</v>
      </c>
      <c r="I19" s="1368" t="s">
        <v>1141</v>
      </c>
      <c r="J19" s="1406"/>
      <c r="K19" s="426">
        <f>J21*Preise!$N$28*(100-$H$19)/100</f>
        <v>1308.5688000000002</v>
      </c>
      <c r="L19" s="1407"/>
      <c r="M19" s="847">
        <f>L21*Preise!$N$28*(100-$H$19)/100</f>
        <v>1308.5688000000002</v>
      </c>
      <c r="N19" s="28"/>
      <c r="O19" s="2040">
        <f>N21*Preise!$N$28*(100-$H$19)/100</f>
        <v>1308.5688000000002</v>
      </c>
      <c r="P19" s="2503"/>
      <c r="Q19"/>
      <c r="R19"/>
      <c r="S19" s="239"/>
      <c r="T19" s="239"/>
      <c r="U19" s="108"/>
      <c r="V19" s="108"/>
    </row>
    <row r="20" spans="1:38" s="236" customFormat="1" ht="14.25" x14ac:dyDescent="0.2">
      <c r="A20" s="2503"/>
      <c r="B20" s="226"/>
      <c r="C20" s="1362"/>
      <c r="D20" s="111"/>
      <c r="E20" s="119"/>
      <c r="F20" s="22" t="s">
        <v>1151</v>
      </c>
      <c r="G20" s="111"/>
      <c r="H20" s="111"/>
      <c r="I20" s="1369" t="s">
        <v>991</v>
      </c>
      <c r="J20" s="1410">
        <v>3</v>
      </c>
      <c r="K20" s="132"/>
      <c r="L20" s="161">
        <v>3</v>
      </c>
      <c r="M20" s="846"/>
      <c r="N20" s="161">
        <v>3</v>
      </c>
      <c r="O20" s="2039"/>
      <c r="P20" s="2503"/>
      <c r="Q20"/>
      <c r="R20"/>
      <c r="S20" s="238"/>
      <c r="T20" s="238"/>
      <c r="U20" s="108"/>
      <c r="V20" s="108"/>
    </row>
    <row r="21" spans="1:38" s="236" customFormat="1" ht="14.25" x14ac:dyDescent="0.2">
      <c r="A21" s="2503"/>
      <c r="B21" s="226"/>
      <c r="C21" s="1362"/>
      <c r="D21" s="111"/>
      <c r="E21" s="119"/>
      <c r="F21" s="22" t="s">
        <v>1152</v>
      </c>
      <c r="G21" s="111"/>
      <c r="H21" s="111"/>
      <c r="I21" s="1369" t="s">
        <v>1153</v>
      </c>
      <c r="J21" s="1410">
        <v>280</v>
      </c>
      <c r="K21" s="132"/>
      <c r="L21" s="161">
        <v>280</v>
      </c>
      <c r="M21" s="849"/>
      <c r="N21" s="161">
        <v>280</v>
      </c>
      <c r="O21" s="2039"/>
      <c r="P21" s="2503"/>
      <c r="Q21"/>
      <c r="R21"/>
      <c r="S21" s="238"/>
      <c r="T21" s="238"/>
      <c r="U21" s="108"/>
      <c r="V21" s="108"/>
    </row>
    <row r="22" spans="1:38" s="236" customFormat="1" ht="18" customHeight="1" x14ac:dyDescent="0.2">
      <c r="A22" s="2503"/>
      <c r="B22" s="226"/>
      <c r="C22" s="1362"/>
      <c r="D22" s="111"/>
      <c r="E22" s="22" t="str">
        <f>"Düngerwert:  (bei "&amp;ROUND(Stammdaten!P23,2)&amp;" €/m³)"</f>
        <v>Düngerwert:  (bei 14,58 €/m³)</v>
      </c>
      <c r="F22" s="22"/>
      <c r="G22" s="111"/>
      <c r="H22" s="111"/>
      <c r="I22" s="1368" t="s">
        <v>1141</v>
      </c>
      <c r="J22" s="1411"/>
      <c r="K22" s="125">
        <f>J23*Stammdaten!$P$23</f>
        <v>320.74863333333332</v>
      </c>
      <c r="L22" s="850"/>
      <c r="M22" s="844">
        <f>L23*Stammdaten!$P$23</f>
        <v>328.03837499999997</v>
      </c>
      <c r="N22" s="134"/>
      <c r="O22" s="1405">
        <f>N23*Stammdaten!$P$23</f>
        <v>335.32811666666663</v>
      </c>
      <c r="P22" s="2503"/>
      <c r="Q22"/>
      <c r="R22" s="3913" t="s">
        <v>1579</v>
      </c>
      <c r="S22" s="3914"/>
      <c r="T22" s="3914"/>
      <c r="U22" s="3915"/>
      <c r="V22" s="108"/>
      <c r="AL22"/>
    </row>
    <row r="23" spans="1:38" s="236" customFormat="1" ht="18" customHeight="1" x14ac:dyDescent="0.2">
      <c r="A23" s="2503"/>
      <c r="B23" s="226"/>
      <c r="C23" s="1362"/>
      <c r="D23" s="111"/>
      <c r="E23" s="119"/>
      <c r="F23" s="22" t="s">
        <v>758</v>
      </c>
      <c r="G23" s="111"/>
      <c r="H23" s="111"/>
      <c r="I23" s="1369" t="s">
        <v>1155</v>
      </c>
      <c r="J23" s="1410">
        <v>22</v>
      </c>
      <c r="K23" s="2574" t="str">
        <f>"  "&amp;ROUND(J92,1)</f>
        <v xml:space="preserve">  22</v>
      </c>
      <c r="L23" s="161">
        <v>22.5</v>
      </c>
      <c r="M23" s="2570" t="str">
        <f>"  "&amp;ROUND(L92,1)</f>
        <v xml:space="preserve">  22,5</v>
      </c>
      <c r="N23" s="161">
        <v>23</v>
      </c>
      <c r="O23" s="2574" t="str">
        <f>"  "&amp;ROUND(N92,0)</f>
        <v xml:space="preserve">  23</v>
      </c>
      <c r="P23" s="2503"/>
      <c r="Q23"/>
      <c r="R23"/>
      <c r="S23" s="240"/>
      <c r="T23" s="240"/>
      <c r="U23" s="108"/>
      <c r="V23" s="108"/>
    </row>
    <row r="24" spans="1:38" s="236" customFormat="1" ht="18" customHeight="1" x14ac:dyDescent="0.2">
      <c r="A24" s="2503"/>
      <c r="B24" s="226"/>
      <c r="C24" s="1362"/>
      <c r="D24" s="111"/>
      <c r="E24" s="22" t="s">
        <v>1022</v>
      </c>
      <c r="F24" s="2548">
        <f>Stammdaten!H25</f>
        <v>17</v>
      </c>
      <c r="G24" s="124" t="s">
        <v>1021</v>
      </c>
      <c r="H24" s="111"/>
      <c r="I24" s="1369" t="s">
        <v>1155</v>
      </c>
      <c r="J24" s="2544">
        <f>J92*$F$24</f>
        <v>374</v>
      </c>
      <c r="K24" s="132"/>
      <c r="L24" s="2545">
        <f>L92*$F$24</f>
        <v>382.5</v>
      </c>
      <c r="M24" s="846"/>
      <c r="N24" s="2545">
        <f>N92*$F$24</f>
        <v>391</v>
      </c>
      <c r="O24" s="2039"/>
      <c r="P24" s="2503"/>
      <c r="Q24"/>
      <c r="R24"/>
      <c r="S24" s="240"/>
      <c r="T24" s="240"/>
      <c r="U24" s="108"/>
      <c r="V24" s="108"/>
    </row>
    <row r="25" spans="1:38" s="241" customFormat="1" ht="17.100000000000001" customHeight="1" x14ac:dyDescent="0.2">
      <c r="A25" s="2503"/>
      <c r="B25" s="243"/>
      <c r="C25" s="1358"/>
      <c r="D25" s="3794" t="s">
        <v>1492</v>
      </c>
      <c r="E25" s="116"/>
      <c r="F25" s="116"/>
      <c r="G25" s="116"/>
      <c r="H25" s="116"/>
      <c r="I25" s="1364" t="s">
        <v>1141</v>
      </c>
      <c r="J25" s="1412"/>
      <c r="K25" s="2085">
        <v>0</v>
      </c>
      <c r="L25" s="852"/>
      <c r="M25" s="2085">
        <v>0</v>
      </c>
      <c r="N25" s="137"/>
      <c r="O25" s="2086">
        <v>0</v>
      </c>
      <c r="P25" s="2503"/>
      <c r="Q25"/>
      <c r="R25"/>
      <c r="S25" s="242"/>
      <c r="T25" s="242"/>
      <c r="U25" s="108"/>
      <c r="V25" s="108"/>
    </row>
    <row r="26" spans="1:38" ht="17.100000000000001" customHeight="1" x14ac:dyDescent="0.2">
      <c r="A26" s="2503"/>
      <c r="C26" s="1370"/>
      <c r="D26" s="115" t="s">
        <v>1086</v>
      </c>
      <c r="E26" s="121"/>
      <c r="F26" s="121"/>
      <c r="G26" s="121"/>
      <c r="H26" s="121"/>
      <c r="I26" s="1364" t="s">
        <v>1141</v>
      </c>
      <c r="J26" s="1415"/>
      <c r="K26" s="140">
        <f>K27/J20</f>
        <v>657</v>
      </c>
      <c r="L26" s="855"/>
      <c r="M26" s="839">
        <f>M27/L20</f>
        <v>657</v>
      </c>
      <c r="N26" s="141"/>
      <c r="O26" s="2036">
        <f>O27/N20</f>
        <v>657</v>
      </c>
      <c r="P26" s="2503"/>
      <c r="Q26"/>
      <c r="R26"/>
      <c r="S26" s="246"/>
      <c r="T26" s="246"/>
      <c r="U26" s="108"/>
      <c r="V26" s="108"/>
    </row>
    <row r="27" spans="1:38" ht="17.100000000000001" customHeight="1" x14ac:dyDescent="0.2">
      <c r="A27" s="2503"/>
      <c r="C27" s="1371"/>
      <c r="D27" s="130"/>
      <c r="E27" s="247" t="s">
        <v>1156</v>
      </c>
      <c r="I27" s="1368" t="s">
        <v>174</v>
      </c>
      <c r="J27" s="1406"/>
      <c r="K27" s="401">
        <f>M27</f>
        <v>1971</v>
      </c>
      <c r="L27" s="851"/>
      <c r="M27" s="856">
        <f>Preise!N25</f>
        <v>1971</v>
      </c>
      <c r="N27" s="37"/>
      <c r="O27" s="2041">
        <f>M27</f>
        <v>1971</v>
      </c>
      <c r="P27" s="2503"/>
      <c r="Q27"/>
      <c r="R27"/>
      <c r="U27" s="108"/>
      <c r="V27" s="108"/>
    </row>
    <row r="28" spans="1:38" s="241" customFormat="1" ht="17.100000000000001" customHeight="1" x14ac:dyDescent="0.2">
      <c r="A28" s="2503"/>
      <c r="B28" s="226"/>
      <c r="C28" s="1372"/>
      <c r="D28" s="143" t="s">
        <v>1158</v>
      </c>
      <c r="E28" s="121"/>
      <c r="F28" s="144"/>
      <c r="G28" s="145"/>
      <c r="H28" s="145"/>
      <c r="I28" s="1373" t="s">
        <v>1141</v>
      </c>
      <c r="J28" s="1416"/>
      <c r="K28" s="146">
        <f>SUM(K30:K34)</f>
        <v>855.68350000000009</v>
      </c>
      <c r="L28" s="857"/>
      <c r="M28" s="858">
        <f>SUM(M30:M34)</f>
        <v>904.91600000000017</v>
      </c>
      <c r="N28" s="147"/>
      <c r="O28" s="2042">
        <f>SUM(O30:O34)</f>
        <v>954.14850000000013</v>
      </c>
      <c r="P28" s="2503"/>
      <c r="Q28"/>
      <c r="R28"/>
      <c r="S28" s="246"/>
      <c r="T28" s="246"/>
      <c r="U28" s="108"/>
      <c r="V28" s="108"/>
    </row>
    <row r="29" spans="1:38" s="241" customFormat="1" ht="17.100000000000001" customHeight="1" x14ac:dyDescent="0.2">
      <c r="A29" s="2503"/>
      <c r="B29" s="226"/>
      <c r="C29" s="1374"/>
      <c r="D29" s="513" t="s">
        <v>1159</v>
      </c>
      <c r="E29" s="149"/>
      <c r="F29" s="148"/>
      <c r="G29" s="371"/>
      <c r="H29" s="640" t="s">
        <v>175</v>
      </c>
      <c r="I29" s="1375"/>
      <c r="J29" s="1417" t="s">
        <v>1160</v>
      </c>
      <c r="K29" s="760" t="s">
        <v>246</v>
      </c>
      <c r="L29" s="859" t="s">
        <v>1160</v>
      </c>
      <c r="M29" s="872" t="s">
        <v>766</v>
      </c>
      <c r="N29" s="405" t="s">
        <v>1160</v>
      </c>
      <c r="O29" s="1418" t="s">
        <v>766</v>
      </c>
      <c r="P29" s="2503"/>
      <c r="Q29"/>
      <c r="R29"/>
      <c r="S29" s="248"/>
      <c r="T29" s="248"/>
      <c r="U29" s="108"/>
      <c r="V29" s="108"/>
    </row>
    <row r="30" spans="1:38" ht="17.100000000000001" customHeight="1" x14ac:dyDescent="0.2">
      <c r="A30" s="2503"/>
      <c r="C30" s="1376"/>
      <c r="D30" s="244">
        <v>1</v>
      </c>
      <c r="E30" s="81" t="str">
        <f>IF(OR(D30&gt;10,D30=0),0,INDEX(Preise!$C$45:$N$54,D30,2))</f>
        <v>Milchleistungsfutter</v>
      </c>
      <c r="G30" s="28"/>
      <c r="H30" s="511">
        <f>IF(OR(D30&gt;10,D30=0),0,INDEX(Preise!$C$45:$N$54,D30,12))</f>
        <v>37.450000000000003</v>
      </c>
      <c r="I30" s="1363"/>
      <c r="J30" s="1419">
        <f>IF(D30&lt;1,0,((J7-J8-(J31*100*2))/2)/100)</f>
        <v>17.5</v>
      </c>
      <c r="K30" s="396">
        <f>J30*$H30</f>
        <v>655.375</v>
      </c>
      <c r="L30" s="870">
        <f>IF(D30&lt;1,0,((L7-L8-(L31*100*2))/2)/100)</f>
        <v>16.75</v>
      </c>
      <c r="M30" s="860">
        <f>L30*$H30</f>
        <v>627.28750000000002</v>
      </c>
      <c r="N30" s="433">
        <f>IF(D30&lt;1,0,((N7-N8-(N31*100*2))/2)/100)</f>
        <v>16</v>
      </c>
      <c r="O30" s="2043">
        <f>N30*$H30</f>
        <v>599.20000000000005</v>
      </c>
      <c r="P30" s="2503"/>
      <c r="Q30"/>
      <c r="R30"/>
      <c r="S30"/>
      <c r="T30"/>
      <c r="AA30"/>
      <c r="AB30"/>
      <c r="AC30"/>
    </row>
    <row r="31" spans="1:38" ht="17.100000000000001" customHeight="1" x14ac:dyDescent="0.2">
      <c r="A31" s="2503"/>
      <c r="C31" s="1376"/>
      <c r="D31" s="244">
        <v>2</v>
      </c>
      <c r="E31" s="81" t="str">
        <f>IF(OR(D31&gt;10,D31=0),0,INDEX(Preise!$C$45:$N$54,D31,2))</f>
        <v>Eigene Mischung</v>
      </c>
      <c r="G31" s="28"/>
      <c r="H31" s="511">
        <f>IF(OR(D31&gt;10,D31=0),0,INDEX(Preise!$C$45:$N$54,D31,12))</f>
        <v>29.565000000000001</v>
      </c>
      <c r="I31" s="1363"/>
      <c r="J31" s="1420">
        <v>5</v>
      </c>
      <c r="K31" s="396">
        <f>J31*H31</f>
        <v>147.82500000000002</v>
      </c>
      <c r="L31" s="404">
        <v>7</v>
      </c>
      <c r="M31" s="860">
        <f>L31*H31</f>
        <v>206.95500000000001</v>
      </c>
      <c r="N31" s="404">
        <v>9</v>
      </c>
      <c r="O31" s="2043">
        <f>N31*H31</f>
        <v>266.08500000000004</v>
      </c>
      <c r="P31" s="2503"/>
      <c r="Q31"/>
      <c r="R31"/>
      <c r="S31"/>
      <c r="T31"/>
      <c r="AA31"/>
      <c r="AB31"/>
      <c r="AC31"/>
    </row>
    <row r="32" spans="1:38" ht="17.100000000000001" customHeight="1" x14ac:dyDescent="0.2">
      <c r="A32" s="2503"/>
      <c r="C32" s="1376"/>
      <c r="D32" s="1350">
        <v>4</v>
      </c>
      <c r="E32" s="81" t="str">
        <f>IF(OR(D32&gt;10,D32=0),0,INDEX(Preise!$C$45:$N$54,D32,2))</f>
        <v>Mineralfutter Rinder</v>
      </c>
      <c r="G32" s="28"/>
      <c r="H32" s="511">
        <f>IF(OR(D32&gt;10,D32=0),0,INDEX(Preise!$C$45:$N$54,D32,12))</f>
        <v>69.55</v>
      </c>
      <c r="I32" s="1363"/>
      <c r="J32" s="1420">
        <v>0.2</v>
      </c>
      <c r="K32" s="396">
        <f>J32*$H32</f>
        <v>13.91</v>
      </c>
      <c r="L32" s="404">
        <v>0.3</v>
      </c>
      <c r="M32" s="860">
        <f>L32*$H32</f>
        <v>20.864999999999998</v>
      </c>
      <c r="N32" s="404">
        <v>0.4</v>
      </c>
      <c r="O32" s="2043">
        <f>N32*$H32</f>
        <v>27.82</v>
      </c>
      <c r="P32" s="2503"/>
      <c r="Q32"/>
      <c r="R32"/>
      <c r="S32"/>
      <c r="T32"/>
      <c r="AA32"/>
      <c r="AB32"/>
      <c r="AC32"/>
    </row>
    <row r="33" spans="1:57" ht="17.100000000000001" customHeight="1" x14ac:dyDescent="0.2">
      <c r="A33" s="2503"/>
      <c r="C33" s="1376"/>
      <c r="D33" s="1350">
        <v>5</v>
      </c>
      <c r="E33" s="81" t="s">
        <v>145</v>
      </c>
      <c r="G33" s="28"/>
      <c r="H33" s="511">
        <f>IF(OR(D33&gt;10,D33=0),0,INDEX(Preise!$C$45:$N$54,D33,12))</f>
        <v>112.35</v>
      </c>
      <c r="I33" s="1363"/>
      <c r="J33" s="1420">
        <v>0.2</v>
      </c>
      <c r="K33" s="396">
        <f>J33*$H33</f>
        <v>22.47</v>
      </c>
      <c r="L33" s="404">
        <v>0.3</v>
      </c>
      <c r="M33" s="860">
        <f>L33*$H33</f>
        <v>33.704999999999998</v>
      </c>
      <c r="N33" s="404">
        <v>0.4</v>
      </c>
      <c r="O33" s="2043">
        <f>N33*$H33</f>
        <v>44.94</v>
      </c>
      <c r="P33" s="2503"/>
      <c r="Q33"/>
      <c r="R33"/>
      <c r="S33"/>
      <c r="T33"/>
      <c r="AA33"/>
      <c r="AB33"/>
      <c r="AC33"/>
    </row>
    <row r="34" spans="1:57" ht="17.100000000000001" customHeight="1" x14ac:dyDescent="0.2">
      <c r="A34" s="2503"/>
      <c r="C34" s="1365"/>
      <c r="D34" s="510">
        <v>7</v>
      </c>
      <c r="E34" s="82" t="str">
        <f>IF(OR(D34&gt;10,D34=0),0,INDEX(Preise!$C$45:$N$54,D34,2))</f>
        <v>Milchaustauscher</v>
      </c>
      <c r="F34" s="127"/>
      <c r="G34" s="16"/>
      <c r="H34" s="512">
        <f>IF(OR(D34&gt;10,D34=0),0,INDEX(Preise!$C$45:$N$54,D34,12))</f>
        <v>322.07</v>
      </c>
      <c r="I34" s="1361"/>
      <c r="J34" s="1421">
        <v>0.05</v>
      </c>
      <c r="K34" s="1351">
        <f>J34*$H34</f>
        <v>16.1035</v>
      </c>
      <c r="L34" s="1353">
        <v>0.05</v>
      </c>
      <c r="M34" s="1352">
        <f>L34*$H34</f>
        <v>16.1035</v>
      </c>
      <c r="N34" s="1353">
        <v>0.05</v>
      </c>
      <c r="O34" s="2044">
        <f>N34*$H34</f>
        <v>16.1035</v>
      </c>
      <c r="P34" s="2503"/>
      <c r="Q34"/>
      <c r="R34"/>
      <c r="S34"/>
      <c r="T34"/>
      <c r="AA34"/>
      <c r="AB34"/>
      <c r="AC34"/>
    </row>
    <row r="35" spans="1:57" s="241" customFormat="1" ht="17.100000000000001" customHeight="1" x14ac:dyDescent="0.2">
      <c r="A35" s="2503"/>
      <c r="B35" s="226"/>
      <c r="C35" s="1377"/>
      <c r="D35" s="73" t="s">
        <v>1161</v>
      </c>
      <c r="E35" s="71"/>
      <c r="F35" s="72"/>
      <c r="G35" s="150"/>
      <c r="H35" s="150"/>
      <c r="I35" s="1368" t="s">
        <v>1141</v>
      </c>
      <c r="J35" s="1422">
        <f>SUM(J36:J44)</f>
        <v>546.12300882440468</v>
      </c>
      <c r="K35" s="136">
        <f>J35+J35*Stammdaten!$P$11</f>
        <v>611.65776988333323</v>
      </c>
      <c r="L35" s="862">
        <f>SUM(L36:L44)</f>
        <v>581.54049061011904</v>
      </c>
      <c r="M35" s="853">
        <f>L35+L35*Stammdaten!$P$11</f>
        <v>651.3253494833333</v>
      </c>
      <c r="N35" s="428">
        <f>SUM(N36:N44)</f>
        <v>1622.8508295386905</v>
      </c>
      <c r="O35" s="1413">
        <f>N35+N35*Stammdaten!$P$11</f>
        <v>1817.5929290833333</v>
      </c>
      <c r="P35" s="2503"/>
      <c r="Q35"/>
      <c r="R35"/>
      <c r="S35"/>
      <c r="T35"/>
      <c r="AA35"/>
      <c r="AB35"/>
      <c r="AC35"/>
    </row>
    <row r="36" spans="1:57" ht="17.100000000000001" customHeight="1" x14ac:dyDescent="0.2">
      <c r="A36" s="2503"/>
      <c r="C36" s="1376"/>
      <c r="D36" s="130"/>
      <c r="E36" s="249" t="s">
        <v>90</v>
      </c>
      <c r="F36" s="162"/>
      <c r="G36" s="22"/>
      <c r="H36" s="22"/>
      <c r="I36" s="1378"/>
      <c r="J36" s="1423">
        <v>116</v>
      </c>
      <c r="K36" s="408"/>
      <c r="L36" s="406">
        <v>126</v>
      </c>
      <c r="M36" s="861"/>
      <c r="N36" s="406">
        <v>1140</v>
      </c>
      <c r="O36" s="2045"/>
      <c r="P36" s="2503"/>
      <c r="Q36" s="3020" t="s">
        <v>1582</v>
      </c>
      <c r="R36"/>
      <c r="S36"/>
      <c r="T36"/>
      <c r="U36"/>
      <c r="V36"/>
      <c r="W36"/>
      <c r="X36"/>
      <c r="Y36"/>
      <c r="Z36"/>
      <c r="AA36"/>
      <c r="AB36"/>
      <c r="AC36"/>
      <c r="AL36" s="411"/>
      <c r="AM36" s="411"/>
      <c r="AN36" s="411"/>
      <c r="AO36" s="411"/>
    </row>
    <row r="37" spans="1:57" ht="17.100000000000001" customHeight="1" x14ac:dyDescent="0.2">
      <c r="A37" s="2503"/>
      <c r="C37" s="1376"/>
      <c r="D37" s="130"/>
      <c r="E37" s="249" t="s">
        <v>1088</v>
      </c>
      <c r="F37" s="162"/>
      <c r="G37" s="22"/>
      <c r="H37" s="22"/>
      <c r="I37" s="1369"/>
      <c r="J37" s="1423">
        <v>32</v>
      </c>
      <c r="K37" s="408"/>
      <c r="L37" s="406">
        <v>32</v>
      </c>
      <c r="M37" s="861"/>
      <c r="N37" s="406">
        <v>34</v>
      </c>
      <c r="O37" s="2045"/>
      <c r="P37" s="2503"/>
      <c r="Q37" s="3020" t="s">
        <v>1583</v>
      </c>
      <c r="R37"/>
      <c r="S37"/>
      <c r="T37"/>
      <c r="U37"/>
      <c r="V37"/>
      <c r="W37"/>
      <c r="X37"/>
      <c r="Y37"/>
      <c r="Z37"/>
      <c r="AA37"/>
      <c r="AB37"/>
      <c r="AC37"/>
      <c r="AL37" s="411"/>
      <c r="AN37" s="411"/>
      <c r="AO37" s="411"/>
      <c r="AY37" s="701" t="s">
        <v>405</v>
      </c>
      <c r="AZ37" s="499"/>
      <c r="BA37" s="499"/>
      <c r="BB37" s="499"/>
      <c r="BC37" s="499"/>
      <c r="BD37" s="499"/>
      <c r="BE37" s="702"/>
    </row>
    <row r="38" spans="1:57" ht="17.100000000000001" customHeight="1" x14ac:dyDescent="0.2">
      <c r="A38" s="2503"/>
      <c r="C38" s="1376"/>
      <c r="D38" s="130"/>
      <c r="E38" s="250" t="s">
        <v>894</v>
      </c>
      <c r="F38" s="2825">
        <v>4</v>
      </c>
      <c r="G38" s="2223" t="s">
        <v>586</v>
      </c>
      <c r="H38" s="2223"/>
      <c r="I38" s="1369"/>
      <c r="J38" s="2226">
        <f>(J91*Preise!$N$55)/(1+Stammdaten!$P$11)</f>
        <v>60.577984717261906</v>
      </c>
      <c r="K38" s="408"/>
      <c r="L38" s="2227">
        <f>(L91*Preise!$N$55)/(1+Stammdaten!$P$11)</f>
        <v>65.259502217261911</v>
      </c>
      <c r="M38" s="861"/>
      <c r="N38" s="2227">
        <f>(N91*Preise!$N$55)/(1+Stammdaten!$P$11)</f>
        <v>69.941019717261909</v>
      </c>
      <c r="O38" s="2045"/>
      <c r="P38" s="2503"/>
      <c r="Q38"/>
      <c r="R38"/>
      <c r="S38"/>
      <c r="T38"/>
      <c r="U38"/>
      <c r="V38"/>
      <c r="W38"/>
      <c r="X38"/>
      <c r="Y38"/>
      <c r="Z38"/>
      <c r="AA38"/>
      <c r="AB38"/>
      <c r="AC38"/>
      <c r="AL38" s="411"/>
      <c r="AN38" s="411"/>
      <c r="AO38" s="411"/>
      <c r="AY38" s="131"/>
      <c r="AZ38" s="111"/>
      <c r="BA38" s="111"/>
      <c r="BB38" s="139"/>
      <c r="BC38" s="698"/>
      <c r="BD38" s="153"/>
      <c r="BE38" s="698"/>
    </row>
    <row r="39" spans="1:57" ht="17.100000000000001" customHeight="1" x14ac:dyDescent="0.2">
      <c r="A39" s="2503"/>
      <c r="C39" s="1376"/>
      <c r="D39" s="130"/>
      <c r="E39" s="250" t="s">
        <v>897</v>
      </c>
      <c r="F39" s="2825">
        <v>3</v>
      </c>
      <c r="G39" s="2223" t="s">
        <v>719</v>
      </c>
      <c r="H39" s="2223"/>
      <c r="I39" s="1369"/>
      <c r="J39" s="2226">
        <f>(J7/100*$F$39*Preise!$N$56)/(1+Stammdaten!$P$11)</f>
        <v>76.5</v>
      </c>
      <c r="K39" s="408"/>
      <c r="L39" s="2227">
        <f>(L7/100*$F$39*Preise!$N$56)/(1+Stammdaten!$P$11)</f>
        <v>86.7</v>
      </c>
      <c r="M39" s="861"/>
      <c r="N39" s="2227">
        <f>(N7/100*$F$39*Preise!$N$56)/(1+Stammdaten!$P$11)</f>
        <v>96.899999999999991</v>
      </c>
      <c r="O39" s="2045"/>
      <c r="P39" s="2503"/>
      <c r="Q39"/>
      <c r="R39"/>
      <c r="S39"/>
      <c r="T39"/>
      <c r="U39"/>
      <c r="V39"/>
      <c r="W39"/>
      <c r="X39"/>
      <c r="Y39"/>
      <c r="Z39"/>
      <c r="AA39"/>
      <c r="AB39"/>
      <c r="AC39"/>
      <c r="AL39" s="411"/>
      <c r="AN39" s="411"/>
      <c r="AO39" s="411"/>
      <c r="AY39" s="131"/>
      <c r="AZ39" s="111"/>
      <c r="BA39" s="111"/>
      <c r="BB39" s="131"/>
      <c r="BC39" s="699"/>
      <c r="BD39" s="468"/>
      <c r="BE39" s="699"/>
    </row>
    <row r="40" spans="1:57" ht="17.100000000000001" customHeight="1" x14ac:dyDescent="0.2">
      <c r="A40" s="2503"/>
      <c r="C40" s="1376"/>
      <c r="D40" s="130"/>
      <c r="E40" s="250" t="s">
        <v>1177</v>
      </c>
      <c r="F40" s="162"/>
      <c r="G40" s="163"/>
      <c r="H40" s="163"/>
      <c r="I40" s="1369"/>
      <c r="J40" s="1423">
        <v>26</v>
      </c>
      <c r="K40" s="408"/>
      <c r="L40" s="406">
        <v>26</v>
      </c>
      <c r="M40" s="861"/>
      <c r="N40" s="406">
        <v>26</v>
      </c>
      <c r="O40" s="2045"/>
      <c r="P40" s="2503"/>
      <c r="Q40"/>
      <c r="R40"/>
      <c r="S40"/>
      <c r="T40"/>
      <c r="U40"/>
      <c r="V40"/>
      <c r="W40"/>
      <c r="X40"/>
      <c r="Y40"/>
      <c r="Z40"/>
      <c r="AA40"/>
      <c r="AB40"/>
      <c r="AC40"/>
      <c r="AL40" s="411"/>
      <c r="AN40" s="411"/>
      <c r="AO40" s="411"/>
      <c r="AY40" s="131" t="s">
        <v>400</v>
      </c>
      <c r="AZ40" s="111"/>
      <c r="BA40" s="111"/>
      <c r="BB40" s="131" t="s">
        <v>401</v>
      </c>
      <c r="BC40" s="699"/>
      <c r="BD40" s="703">
        <v>14.3</v>
      </c>
      <c r="BE40" s="699"/>
    </row>
    <row r="41" spans="1:57" ht="17.100000000000001" customHeight="1" x14ac:dyDescent="0.2">
      <c r="A41" s="2503"/>
      <c r="C41" s="1376"/>
      <c r="D41" s="130"/>
      <c r="E41" s="249" t="s">
        <v>1192</v>
      </c>
      <c r="F41" s="162"/>
      <c r="G41" s="163"/>
      <c r="H41" s="163"/>
      <c r="I41" s="1369"/>
      <c r="J41" s="1423">
        <v>23</v>
      </c>
      <c r="K41" s="408"/>
      <c r="L41" s="406">
        <v>26</v>
      </c>
      <c r="M41" s="861"/>
      <c r="N41" s="406">
        <v>28</v>
      </c>
      <c r="O41" s="2045"/>
      <c r="P41" s="2503"/>
      <c r="Q41"/>
      <c r="R41"/>
      <c r="S41"/>
      <c r="T41"/>
      <c r="U41"/>
      <c r="V41"/>
      <c r="W41"/>
      <c r="X41"/>
      <c r="Y41"/>
      <c r="Z41"/>
      <c r="AA41"/>
      <c r="AB41"/>
      <c r="AC41"/>
      <c r="AL41" s="411"/>
      <c r="AN41" s="411"/>
      <c r="AO41" s="411"/>
      <c r="AY41" s="131"/>
      <c r="AZ41" s="111"/>
      <c r="BA41" s="111"/>
      <c r="BB41" s="131" t="s">
        <v>402</v>
      </c>
      <c r="BC41" s="699"/>
      <c r="BD41" s="703">
        <v>16.899999999999999</v>
      </c>
      <c r="BE41" s="699"/>
    </row>
    <row r="42" spans="1:57" ht="17.100000000000001" customHeight="1" x14ac:dyDescent="0.2">
      <c r="A42" s="2503"/>
      <c r="C42" s="1376"/>
      <c r="D42" s="130"/>
      <c r="E42" s="543" t="s">
        <v>760</v>
      </c>
      <c r="F42" s="162"/>
      <c r="G42" s="163"/>
      <c r="H42" s="163"/>
      <c r="I42" s="1369"/>
      <c r="J42" s="2226">
        <f>(J95*Preise!$N$58)/(1+Stammdaten!$P$11)</f>
        <v>56.687881250000004</v>
      </c>
      <c r="K42" s="408"/>
      <c r="L42" s="2227">
        <f>(L95*Preise!$N$58)/(1+Stammdaten!$P$11)</f>
        <v>62.438131250000005</v>
      </c>
      <c r="M42" s="861"/>
      <c r="N42" s="2227">
        <f>(N95*Preise!$N$58)/(1+Stammdaten!$P$11)</f>
        <v>68.188381250000006</v>
      </c>
      <c r="O42" s="2045"/>
      <c r="P42" s="2503"/>
      <c r="Q42"/>
      <c r="R42"/>
      <c r="S42"/>
      <c r="T42"/>
      <c r="U42"/>
      <c r="V42"/>
      <c r="W42"/>
      <c r="X42"/>
      <c r="Y42"/>
      <c r="Z42"/>
      <c r="AA42"/>
      <c r="AB42"/>
      <c r="AC42"/>
      <c r="AL42" s="411"/>
      <c r="AN42" s="411"/>
      <c r="AO42" s="411"/>
      <c r="AY42" s="139" t="s">
        <v>403</v>
      </c>
      <c r="AZ42" s="121"/>
      <c r="BA42" s="121"/>
      <c r="BB42" s="139" t="s">
        <v>401</v>
      </c>
      <c r="BC42" s="698"/>
      <c r="BD42" s="704">
        <v>7.7</v>
      </c>
      <c r="BE42" s="698"/>
    </row>
    <row r="43" spans="1:57" ht="17.100000000000001" customHeight="1" x14ac:dyDescent="0.3">
      <c r="A43" s="2503"/>
      <c r="C43" s="1376"/>
      <c r="D43" s="130"/>
      <c r="E43" s="1886" t="s">
        <v>34</v>
      </c>
      <c r="F43" s="2563" t="str">
        <f>"überbetriebliche Gülleausbringung ( "&amp;ROUND(J92,0)&amp;" / "&amp;ROUND(L92,0)&amp;" / "&amp;ROUND(N92,0)&amp;" m³)"</f>
        <v>überbetriebliche Gülleausbringung ( 22 / 23 / 23 m³)</v>
      </c>
      <c r="G43" s="2560"/>
      <c r="H43" s="2560"/>
      <c r="I43" s="1369"/>
      <c r="J43" s="2254">
        <f>((ROUND(J92*Preise!$N$57,0)))/(1+Stammdaten!$P$11)</f>
        <v>105.35714285714285</v>
      </c>
      <c r="K43" s="2557"/>
      <c r="L43" s="2255">
        <f>((ROUND(L92*Preise!$N$57,0)))/(1+Stammdaten!$P$11)</f>
        <v>107.14285714285714</v>
      </c>
      <c r="M43" s="2558"/>
      <c r="N43" s="2255">
        <f>((ROUND(N92*Preise!$N$57,0)))/(1+Stammdaten!$P$11)</f>
        <v>109.82142857142856</v>
      </c>
      <c r="O43" s="2559"/>
      <c r="P43" s="2503"/>
      <c r="Q43"/>
      <c r="R43"/>
      <c r="S43"/>
      <c r="T43"/>
      <c r="U43"/>
      <c r="V43"/>
      <c r="W43"/>
      <c r="X43"/>
      <c r="Y43"/>
      <c r="Z43"/>
      <c r="AA43"/>
      <c r="AB43"/>
      <c r="AC43"/>
      <c r="AL43" s="411"/>
      <c r="AN43" s="411"/>
      <c r="AO43" s="411"/>
      <c r="AY43" s="142"/>
      <c r="AZ43" s="127"/>
      <c r="BA43" s="127"/>
      <c r="BB43" s="142" t="s">
        <v>402</v>
      </c>
      <c r="BC43" s="700"/>
      <c r="BD43" s="705">
        <v>10.199999999999999</v>
      </c>
      <c r="BE43" s="700"/>
    </row>
    <row r="44" spans="1:57" ht="17.100000000000001" customHeight="1" x14ac:dyDescent="0.2">
      <c r="A44" s="2503"/>
      <c r="C44" s="1365"/>
      <c r="D44" s="138"/>
      <c r="E44" s="251" t="s">
        <v>36</v>
      </c>
      <c r="F44" s="254" t="s">
        <v>37</v>
      </c>
      <c r="G44" s="542"/>
      <c r="H44" s="542"/>
      <c r="I44" s="1379"/>
      <c r="J44" s="1424">
        <v>50</v>
      </c>
      <c r="K44" s="408"/>
      <c r="L44" s="407">
        <v>50</v>
      </c>
      <c r="M44" s="861"/>
      <c r="N44" s="407">
        <v>50</v>
      </c>
      <c r="O44" s="2045"/>
      <c r="P44" s="2503"/>
      <c r="Q44"/>
      <c r="R44"/>
      <c r="S44"/>
      <c r="T44"/>
      <c r="U44"/>
      <c r="V44"/>
      <c r="W44"/>
      <c r="X44"/>
      <c r="Y44"/>
      <c r="Z44"/>
      <c r="AA44"/>
      <c r="AB44"/>
      <c r="AC44"/>
      <c r="AL44" s="411"/>
      <c r="AN44" s="411"/>
      <c r="AO44" s="411"/>
      <c r="AY44" s="497" t="s">
        <v>404</v>
      </c>
      <c r="AZ44" s="499"/>
      <c r="BA44" s="499"/>
      <c r="BB44" s="497"/>
      <c r="BC44" s="702"/>
      <c r="BD44" s="706">
        <v>4.5999999999999996</v>
      </c>
      <c r="BE44" s="702"/>
    </row>
    <row r="45" spans="1:57" s="241" customFormat="1" ht="17.100000000000001" customHeight="1" x14ac:dyDescent="0.2">
      <c r="A45" s="2503"/>
      <c r="B45" s="226"/>
      <c r="C45" s="1380"/>
      <c r="D45" s="123" t="s">
        <v>39</v>
      </c>
      <c r="E45" s="151"/>
      <c r="F45" s="121"/>
      <c r="G45" s="130"/>
      <c r="H45" s="152"/>
      <c r="I45" s="1364" t="s">
        <v>1141</v>
      </c>
      <c r="J45" s="1370"/>
      <c r="K45" s="136">
        <f>K46*G46/100</f>
        <v>39.379266000000001</v>
      </c>
      <c r="L45" s="863"/>
      <c r="M45" s="853">
        <f>M46*G46/100</f>
        <v>39.379266000000001</v>
      </c>
      <c r="N45" s="139"/>
      <c r="O45" s="1413">
        <f>O46*G46/100</f>
        <v>39.379266000000001</v>
      </c>
      <c r="P45" s="2503"/>
      <c r="Q45"/>
      <c r="R45"/>
      <c r="S45"/>
      <c r="T45"/>
      <c r="U45"/>
      <c r="V45"/>
      <c r="W45"/>
      <c r="X45"/>
      <c r="Y45"/>
      <c r="Z45"/>
      <c r="AA45"/>
      <c r="AB45"/>
      <c r="AC45"/>
      <c r="AL45" s="412"/>
      <c r="AM45" s="412"/>
      <c r="AN45" s="412"/>
      <c r="AO45" s="411"/>
    </row>
    <row r="46" spans="1:57" s="241" customFormat="1" ht="17.100000000000001" customHeight="1" x14ac:dyDescent="0.2">
      <c r="A46" s="2503"/>
      <c r="B46" s="226"/>
      <c r="C46" s="1377"/>
      <c r="D46" s="130"/>
      <c r="E46" s="124" t="s">
        <v>40</v>
      </c>
      <c r="F46" s="130"/>
      <c r="G46" s="263">
        <f>Stammdaten!P30</f>
        <v>1.5</v>
      </c>
      <c r="H46" s="28"/>
      <c r="I46" s="1378" t="s">
        <v>41</v>
      </c>
      <c r="J46" s="1406"/>
      <c r="K46" s="427">
        <f>(K27+(K19)/2)</f>
        <v>2625.2844</v>
      </c>
      <c r="L46" s="851"/>
      <c r="M46" s="864">
        <f>(M27+(M19)/2)</f>
        <v>2625.2844</v>
      </c>
      <c r="N46" s="37"/>
      <c r="O46" s="2046">
        <f>(O27+(O19)/2)</f>
        <v>2625.2844</v>
      </c>
      <c r="P46" s="2503"/>
      <c r="Q46"/>
      <c r="R46"/>
      <c r="S46"/>
      <c r="T46"/>
      <c r="U46"/>
      <c r="V46"/>
      <c r="W46"/>
      <c r="X46"/>
      <c r="Y46"/>
      <c r="Z46"/>
      <c r="AA46"/>
      <c r="AB46"/>
      <c r="AC46"/>
    </row>
    <row r="47" spans="1:57" s="241" customFormat="1" ht="17.100000000000001" customHeight="1" x14ac:dyDescent="0.2">
      <c r="A47" s="2503"/>
      <c r="B47" s="226"/>
      <c r="C47" s="1381"/>
      <c r="D47" s="74" t="s">
        <v>900</v>
      </c>
      <c r="E47" s="121"/>
      <c r="F47" s="121"/>
      <c r="G47" s="121"/>
      <c r="H47" s="121"/>
      <c r="I47" s="1364" t="s">
        <v>176</v>
      </c>
      <c r="J47" s="2530"/>
      <c r="K47" s="136">
        <f>K51+K54+K57</f>
        <v>1136.0518168999999</v>
      </c>
      <c r="L47" s="2531"/>
      <c r="M47" s="853">
        <f>M51+M54+M57</f>
        <v>1226.1379845000004</v>
      </c>
      <c r="N47" s="2532"/>
      <c r="O47" s="1413">
        <f>O51+O54+O57</f>
        <v>1311.5914801000004</v>
      </c>
      <c r="P47" s="2503"/>
      <c r="Q47"/>
      <c r="R47"/>
      <c r="S47"/>
      <c r="T47"/>
      <c r="U47"/>
      <c r="V47"/>
      <c r="W47"/>
      <c r="X47"/>
      <c r="Y47"/>
      <c r="Z47"/>
      <c r="AA47"/>
      <c r="AB47"/>
      <c r="AC47"/>
      <c r="AL47" s="241" t="s">
        <v>43</v>
      </c>
    </row>
    <row r="48" spans="1:57" s="241" customFormat="1" ht="17.100000000000001" customHeight="1" x14ac:dyDescent="0.2">
      <c r="A48" s="2503"/>
      <c r="B48" s="226"/>
      <c r="C48" s="1377"/>
      <c r="D48" s="130"/>
      <c r="E48" s="150"/>
      <c r="F48" s="130"/>
      <c r="G48" s="130"/>
      <c r="H48" s="28"/>
      <c r="I48" s="1382" t="s">
        <v>189</v>
      </c>
      <c r="J48" s="1406"/>
      <c r="K48" s="2264">
        <f>K47/J49</f>
        <v>0.42585999999999996</v>
      </c>
      <c r="L48" s="851"/>
      <c r="M48" s="2265">
        <f>M47/L49</f>
        <v>0.41730000000000006</v>
      </c>
      <c r="N48" s="37"/>
      <c r="O48" s="2266">
        <f>O47/N49</f>
        <v>0.40874000000000005</v>
      </c>
      <c r="P48" s="2503"/>
      <c r="Q48"/>
      <c r="R48"/>
      <c r="S48"/>
      <c r="T48"/>
      <c r="U48"/>
      <c r="V48"/>
      <c r="W48"/>
      <c r="X48"/>
      <c r="Y48"/>
      <c r="Z48"/>
      <c r="AA48"/>
      <c r="AB48"/>
      <c r="AC48"/>
    </row>
    <row r="49" spans="1:60" s="241" customFormat="1" ht="17.100000000000001" customHeight="1" x14ac:dyDescent="0.2">
      <c r="A49" s="2503"/>
      <c r="B49" s="226"/>
      <c r="C49" s="1377"/>
      <c r="D49" s="130"/>
      <c r="E49" s="81" t="s">
        <v>45</v>
      </c>
      <c r="F49" s="111"/>
      <c r="G49" s="478"/>
      <c r="H49" s="28"/>
      <c r="I49" s="1382" t="s">
        <v>46</v>
      </c>
      <c r="J49" s="1425">
        <f>(Kalkulationshilfen!$J$10+J8*Kalkulationshilfen!$J$14)*(100+Kalkulationshilfen!$J$18)/1000</f>
        <v>2667.665</v>
      </c>
      <c r="K49" s="2533" t="str">
        <f>IF(AB57=100,"","100% ?")</f>
        <v/>
      </c>
      <c r="L49" s="865">
        <f>(Kalkulationshilfen!$J$10+L8*Kalkulationshilfen!$J$14)*(100+Kalkulationshilfen!$J$18)/1000</f>
        <v>2938.2650000000003</v>
      </c>
      <c r="M49" s="2534" t="str">
        <f>IF(AD57=100,"","100% ?")</f>
        <v/>
      </c>
      <c r="N49" s="479">
        <f>(Kalkulationshilfen!$J$10+N8*Kalkulationshilfen!$J$14)*(100+Kalkulationshilfen!$J$18)/1000</f>
        <v>3208.8650000000007</v>
      </c>
      <c r="O49" s="2535" t="str">
        <f>IF(AF57=100,"","100% ?")</f>
        <v/>
      </c>
      <c r="P49" s="2503"/>
      <c r="Q49"/>
      <c r="R49"/>
      <c r="S49"/>
      <c r="T49"/>
      <c r="U49"/>
      <c r="V49"/>
      <c r="W49"/>
      <c r="AB49" s="241" t="s">
        <v>155</v>
      </c>
      <c r="AI49" t="s">
        <v>109</v>
      </c>
      <c r="AJ49"/>
      <c r="AK49"/>
      <c r="AO49" t="s">
        <v>111</v>
      </c>
      <c r="AX49" s="2523" t="s">
        <v>593</v>
      </c>
      <c r="AY49" s="2523" t="s">
        <v>179</v>
      </c>
      <c r="AZ49" s="2523" t="s">
        <v>178</v>
      </c>
      <c r="BA49" s="2523" t="s">
        <v>178</v>
      </c>
      <c r="BB49" s="2995" t="s">
        <v>178</v>
      </c>
      <c r="BC49" s="2997" t="s">
        <v>346</v>
      </c>
      <c r="BD49" s="2997" t="s">
        <v>346</v>
      </c>
      <c r="BE49" s="2997" t="s">
        <v>346</v>
      </c>
      <c r="BF49" s="2996" t="s">
        <v>178</v>
      </c>
      <c r="BG49" s="2523" t="s">
        <v>178</v>
      </c>
      <c r="BH49" s="2523" t="s">
        <v>178</v>
      </c>
    </row>
    <row r="50" spans="1:60" s="241" customFormat="1" ht="17.100000000000001" customHeight="1" x14ac:dyDescent="0.2">
      <c r="A50" s="2503"/>
      <c r="B50" s="226"/>
      <c r="C50" s="3820"/>
      <c r="D50" s="3819" t="str">
        <f>VLOOKUP(R50,Preise!$C$62:$E$68,2,FALSE)</f>
        <v>Silomais</v>
      </c>
      <c r="E50" s="2525"/>
      <c r="F50" s="2525"/>
      <c r="G50" s="2257"/>
      <c r="H50" s="2522" t="s">
        <v>515</v>
      </c>
      <c r="I50" s="2258" t="s">
        <v>961</v>
      </c>
      <c r="J50" s="2259">
        <v>40</v>
      </c>
      <c r="K50" s="2260"/>
      <c r="L50" s="2261">
        <v>50</v>
      </c>
      <c r="M50" s="2262"/>
      <c r="N50" s="2261">
        <v>60</v>
      </c>
      <c r="O50" s="2263"/>
      <c r="P50" s="2503"/>
      <c r="Q50"/>
      <c r="R50" s="3816">
        <v>7</v>
      </c>
      <c r="S50" s="2523" t="str">
        <f>VLOOKUP($R$50,Preise!$C$62:$N$68,2,FALSE)</f>
        <v>Silomais</v>
      </c>
      <c r="T50" t="s">
        <v>518</v>
      </c>
      <c r="U50"/>
      <c r="V50"/>
      <c r="W50"/>
      <c r="X50" s="241" t="s">
        <v>1509</v>
      </c>
      <c r="AB50" s="2523">
        <f t="shared" ref="AB50:AG50" si="0">J50</f>
        <v>40</v>
      </c>
      <c r="AC50" s="2523">
        <f t="shared" si="0"/>
        <v>0</v>
      </c>
      <c r="AD50" s="2523">
        <f t="shared" si="0"/>
        <v>50</v>
      </c>
      <c r="AE50" s="2523">
        <f t="shared" si="0"/>
        <v>0</v>
      </c>
      <c r="AF50" s="2523">
        <f t="shared" si="0"/>
        <v>60</v>
      </c>
      <c r="AG50" s="412">
        <f t="shared" si="0"/>
        <v>0</v>
      </c>
      <c r="AI50" s="2523">
        <f t="shared" ref="AI50:AI57" si="1">IF(OR($R50=2,$R50=4,$R50=5,$R50=6),J50,0)</f>
        <v>0</v>
      </c>
      <c r="AK50" s="2523">
        <f t="shared" ref="AK50:AK57" si="2">IF(OR($R50=2,$R50=4,$R50=5,$R50=6),L50,0)</f>
        <v>0</v>
      </c>
      <c r="AM50" s="2523">
        <f t="shared" ref="AM50:AM57" si="3">IF(OR($R50=2,$R50=4,$R50=5,$R50=6),N50,0)</f>
        <v>0</v>
      </c>
      <c r="AO50" s="2523">
        <f t="shared" ref="AO50:AO57" si="4">IF(OR($R50=4,$R50=5),J50,0)</f>
        <v>0</v>
      </c>
      <c r="AQ50" s="2523">
        <f t="shared" ref="AQ50:AQ57" si="5">IF(OR($R50=4,$R50=5),L50,0)</f>
        <v>0</v>
      </c>
      <c r="AS50" s="2523">
        <f t="shared" ref="AS50:AS57" si="6">IF(OR($R50=4,$R50=5),N50,0)</f>
        <v>0</v>
      </c>
      <c r="AX50" s="2523"/>
      <c r="AY50" s="2523"/>
      <c r="BC50" s="117"/>
      <c r="BD50" s="119"/>
      <c r="BE50" s="2994"/>
    </row>
    <row r="51" spans="1:60" s="241" customFormat="1" ht="17.100000000000001" customHeight="1" x14ac:dyDescent="0.2">
      <c r="A51" s="2503"/>
      <c r="B51" s="226"/>
      <c r="C51" s="1377"/>
      <c r="D51" s="2270" t="str">
        <f>"(--&gt;" &amp;R51&amp; "€/10 MJNEL)"</f>
        <v>(--&gt;0,3745€/10 MJNEL)</v>
      </c>
      <c r="F51" s="2271"/>
      <c r="G51" s="478" t="s">
        <v>861</v>
      </c>
      <c r="H51" s="28"/>
      <c r="I51" s="1382" t="s">
        <v>135</v>
      </c>
      <c r="J51" s="1425">
        <f>J49*J50/100</f>
        <v>1067.066</v>
      </c>
      <c r="K51" s="2269">
        <f>$J$51*$R51</f>
        <v>399.61621700000001</v>
      </c>
      <c r="L51" s="865">
        <f>L49*L50/100</f>
        <v>1469.1325000000004</v>
      </c>
      <c r="M51" s="2268">
        <f>$L$51*$R51</f>
        <v>550.19012125000017</v>
      </c>
      <c r="N51" s="479">
        <f>N49*N50/100</f>
        <v>1925.3190000000004</v>
      </c>
      <c r="O51" s="2272">
        <f>$N$51*$R51</f>
        <v>721.03196550000018</v>
      </c>
      <c r="P51" s="2503"/>
      <c r="Q51"/>
      <c r="R51" s="2523">
        <f>VLOOKUP($R$50,Preise!$C$62:$N$69,12,FALSE)</f>
        <v>0.3745</v>
      </c>
      <c r="S51" s="2523" t="s">
        <v>517</v>
      </c>
      <c r="T51" t="s">
        <v>1115</v>
      </c>
      <c r="U51"/>
      <c r="V51"/>
      <c r="W51"/>
      <c r="AB51" s="2523"/>
      <c r="AC51" s="2523"/>
      <c r="AD51" s="2523"/>
      <c r="AE51" s="2523"/>
      <c r="AF51" s="2523"/>
      <c r="AI51" s="2523">
        <f t="shared" si="1"/>
        <v>0</v>
      </c>
      <c r="AK51" s="2523">
        <f t="shared" si="2"/>
        <v>0</v>
      </c>
      <c r="AM51" s="2523">
        <f t="shared" si="3"/>
        <v>0</v>
      </c>
      <c r="AO51" s="2523">
        <f t="shared" si="4"/>
        <v>0</v>
      </c>
      <c r="AQ51" s="2523">
        <f t="shared" si="5"/>
        <v>0</v>
      </c>
      <c r="AS51" s="2523">
        <f t="shared" si="6"/>
        <v>0</v>
      </c>
      <c r="AX51" s="2523">
        <f>VLOOKUP($R50,Preise!$C$62:$U$69,Preise!$T$60,FALSE)</f>
        <v>7385</v>
      </c>
      <c r="AY51" s="2523">
        <f>VLOOKUP($R50,Preise!$C$62:$U$69,Preise!$U$60,FALSE)</f>
        <v>15.1</v>
      </c>
      <c r="AZ51" s="2523">
        <f>$J50/100*AY51</f>
        <v>6.04</v>
      </c>
      <c r="BA51" s="2523">
        <f>$L50/100*AY51</f>
        <v>7.55</v>
      </c>
      <c r="BB51" s="2995">
        <f>$N50/100*AY51</f>
        <v>9.0599999999999987</v>
      </c>
      <c r="BC51" s="2997">
        <f>J51/$AX51</f>
        <v>0.1444909952606635</v>
      </c>
      <c r="BD51" s="2997">
        <f>L51/$AX51</f>
        <v>0.1989346648612052</v>
      </c>
      <c r="BE51" s="2997">
        <f>N51/$AX51</f>
        <v>0.26070670277589714</v>
      </c>
      <c r="BF51" s="2996">
        <f>$AY51*BC51</f>
        <v>2.181814028436019</v>
      </c>
      <c r="BG51" s="2523">
        <f>$AY51*BD51</f>
        <v>3.0039134394041986</v>
      </c>
      <c r="BH51" s="2523">
        <f>$AY51*BE51</f>
        <v>3.9366712119160465</v>
      </c>
    </row>
    <row r="52" spans="1:60" s="241" customFormat="1" ht="17.100000000000001" customHeight="1" x14ac:dyDescent="0.2">
      <c r="A52" s="2503"/>
      <c r="B52" s="226"/>
      <c r="C52" s="1377"/>
      <c r="D52" s="2270" t="str">
        <f>"(--&gt;" &amp;R52&amp; "€/10 MJNEL)"</f>
        <v>(--&gt;0,1605€/10 MJNEL)</v>
      </c>
      <c r="E52" s="2270"/>
      <c r="F52" s="2271"/>
      <c r="G52" s="478" t="s">
        <v>474</v>
      </c>
      <c r="H52" s="28"/>
      <c r="I52" s="1382"/>
      <c r="J52" s="1425"/>
      <c r="K52" s="2269">
        <f>$J51*$R52</f>
        <v>171.264093</v>
      </c>
      <c r="L52" s="865"/>
      <c r="M52" s="2268">
        <f>$L51*$R52</f>
        <v>235.79576625000007</v>
      </c>
      <c r="N52" s="479"/>
      <c r="O52" s="2267">
        <f>$N51*$R52</f>
        <v>309.01369950000009</v>
      </c>
      <c r="P52" s="2503"/>
      <c r="Q52"/>
      <c r="R52" s="2523">
        <f>VLOOKUP($R$50,Preise!$C$74:$N$81,12,FALSE)</f>
        <v>0.1605</v>
      </c>
      <c r="S52" s="2523" t="s">
        <v>517</v>
      </c>
      <c r="T52" t="s">
        <v>474</v>
      </c>
      <c r="U52"/>
      <c r="V52"/>
      <c r="W52"/>
      <c r="AB52" s="2523"/>
      <c r="AC52" s="2523"/>
      <c r="AD52" s="2523"/>
      <c r="AE52" s="2523"/>
      <c r="AF52" s="2523"/>
      <c r="AI52" s="2523"/>
      <c r="AK52" s="2523"/>
      <c r="AM52" s="2523"/>
      <c r="AO52" s="2523"/>
      <c r="AQ52" s="2523"/>
      <c r="AS52" s="2523"/>
      <c r="AX52" s="2523"/>
      <c r="AY52" s="2523"/>
      <c r="BC52" s="117"/>
      <c r="BD52" s="119"/>
      <c r="BE52" s="2994"/>
    </row>
    <row r="53" spans="1:60" s="241" customFormat="1" ht="17.100000000000001" customHeight="1" x14ac:dyDescent="0.2">
      <c r="A53" s="2503"/>
      <c r="B53" s="226"/>
      <c r="C53" s="3820"/>
      <c r="D53" s="3819" t="str">
        <f>VLOOKUP(R53,Preise!$C$62:$E$68,2,FALSE)</f>
        <v>Grünland, Silage</v>
      </c>
      <c r="E53" s="2525"/>
      <c r="F53" s="2525"/>
      <c r="G53" s="2257"/>
      <c r="H53" s="2522" t="s">
        <v>516</v>
      </c>
      <c r="I53" s="2258" t="s">
        <v>961</v>
      </c>
      <c r="J53" s="2259">
        <v>60</v>
      </c>
      <c r="K53" s="2260"/>
      <c r="L53" s="2538">
        <v>50</v>
      </c>
      <c r="M53" s="2262"/>
      <c r="N53" s="2538">
        <v>40</v>
      </c>
      <c r="O53" s="2263"/>
      <c r="P53" s="2503"/>
      <c r="Q53"/>
      <c r="R53" s="3816">
        <v>1</v>
      </c>
      <c r="S53" s="2523" t="str">
        <f>VLOOKUP($R$53,Preise!$C$62:$N$68,2,FALSE)</f>
        <v>Grünland, Silage</v>
      </c>
      <c r="T53" t="s">
        <v>518</v>
      </c>
      <c r="U53"/>
      <c r="V53"/>
      <c r="W53"/>
      <c r="X53" s="241" t="s">
        <v>1509</v>
      </c>
      <c r="AB53" s="2523">
        <f>J53</f>
        <v>60</v>
      </c>
      <c r="AC53" s="2523">
        <f>K53</f>
        <v>0</v>
      </c>
      <c r="AD53" s="2523">
        <f>L53</f>
        <v>50</v>
      </c>
      <c r="AE53" s="2523">
        <f>M53</f>
        <v>0</v>
      </c>
      <c r="AF53" s="2523">
        <f>N53</f>
        <v>40</v>
      </c>
      <c r="AI53" s="2523">
        <f t="shared" si="1"/>
        <v>0</v>
      </c>
      <c r="AK53" s="2523">
        <f t="shared" si="2"/>
        <v>0</v>
      </c>
      <c r="AM53" s="2523">
        <f t="shared" si="3"/>
        <v>0</v>
      </c>
      <c r="AO53" s="2523">
        <f t="shared" si="4"/>
        <v>0</v>
      </c>
      <c r="AQ53" s="2523">
        <f t="shared" si="5"/>
        <v>0</v>
      </c>
      <c r="AS53" s="2523">
        <f t="shared" si="6"/>
        <v>0</v>
      </c>
      <c r="AX53" s="2523"/>
      <c r="AY53" s="2523"/>
      <c r="BC53" s="117"/>
      <c r="BD53" s="119"/>
      <c r="BE53" s="2994"/>
    </row>
    <row r="54" spans="1:60" s="241" customFormat="1" ht="17.100000000000001" customHeight="1" x14ac:dyDescent="0.2">
      <c r="A54" s="2503"/>
      <c r="B54" s="226"/>
      <c r="C54" s="1377"/>
      <c r="D54" s="2270" t="str">
        <f>"(--&gt;" &amp;R54&amp; "€/10 MJNEL)"</f>
        <v>(--&gt;0,4601€/10 MJNEL)</v>
      </c>
      <c r="F54" s="2271"/>
      <c r="G54" s="478" t="s">
        <v>861</v>
      </c>
      <c r="H54" s="28"/>
      <c r="I54" s="1382" t="s">
        <v>136</v>
      </c>
      <c r="J54" s="1425">
        <f>J49*J53/100</f>
        <v>1600.5989999999999</v>
      </c>
      <c r="K54" s="2269">
        <f>J54*$R$54</f>
        <v>736.43559989999994</v>
      </c>
      <c r="L54" s="865">
        <f>L49*L53/100</f>
        <v>1469.1325000000004</v>
      </c>
      <c r="M54" s="2268">
        <f>L54*$R$54</f>
        <v>675.94786325000018</v>
      </c>
      <c r="N54" s="479">
        <f>N49*N53/100</f>
        <v>1283.5460000000003</v>
      </c>
      <c r="O54" s="2272">
        <f>N54*$R$54</f>
        <v>590.55951460000017</v>
      </c>
      <c r="P54" s="2503"/>
      <c r="Q54"/>
      <c r="R54" s="2523">
        <f>VLOOKUP($R$53,Preise!$C$62:$N$69,12,FALSE)</f>
        <v>0.46010000000000001</v>
      </c>
      <c r="S54" s="2523" t="s">
        <v>517</v>
      </c>
      <c r="T54" t="s">
        <v>1115</v>
      </c>
      <c r="U54"/>
      <c r="V54"/>
      <c r="W54"/>
      <c r="AB54" s="2523"/>
      <c r="AC54" s="2523"/>
      <c r="AD54" s="2523"/>
      <c r="AE54" s="2523"/>
      <c r="AF54" s="2523"/>
      <c r="AI54" s="2523">
        <f t="shared" si="1"/>
        <v>0</v>
      </c>
      <c r="AK54" s="2523">
        <f t="shared" si="2"/>
        <v>0</v>
      </c>
      <c r="AM54" s="2523">
        <f t="shared" si="3"/>
        <v>0</v>
      </c>
      <c r="AO54" s="2523">
        <f t="shared" si="4"/>
        <v>0</v>
      </c>
      <c r="AQ54" s="2523">
        <f t="shared" si="5"/>
        <v>0</v>
      </c>
      <c r="AS54" s="2523">
        <f t="shared" si="6"/>
        <v>0</v>
      </c>
      <c r="AX54" s="2523">
        <f>VLOOKUP(R53,Preise!$C$62:$U$69,Preise!$T$60,FALSE)</f>
        <v>4117</v>
      </c>
      <c r="AY54" s="2523">
        <f>VLOOKUP($R53,Preise!$C$62:$U$69,Preise!$U$60,FALSE)</f>
        <v>12.8</v>
      </c>
      <c r="AZ54" s="2523">
        <f>$J53/100*AY54</f>
        <v>7.68</v>
      </c>
      <c r="BA54" s="2523">
        <f>$L53/100*AY54</f>
        <v>6.4</v>
      </c>
      <c r="BB54" s="2995">
        <f>$N53/100*AY54</f>
        <v>5.120000000000001</v>
      </c>
      <c r="BC54" s="2997">
        <f>J54/$AX54</f>
        <v>0.38877799368472188</v>
      </c>
      <c r="BD54" s="2997">
        <f>L54/$AX54</f>
        <v>0.3568453971338354</v>
      </c>
      <c r="BE54" s="2997">
        <f>N54/$AX54</f>
        <v>0.31176730629098864</v>
      </c>
      <c r="BF54" s="2996">
        <f>$AY54*BC54</f>
        <v>4.97635831916444</v>
      </c>
      <c r="BG54" s="2523">
        <f>$AY54*BD54</f>
        <v>4.5676210833130932</v>
      </c>
      <c r="BH54" s="2523">
        <f>$AY54*BE54</f>
        <v>3.9906215205246549</v>
      </c>
    </row>
    <row r="55" spans="1:60" s="241" customFormat="1" ht="17.100000000000001" customHeight="1" x14ac:dyDescent="0.2">
      <c r="A55" s="2503"/>
      <c r="B55" s="226"/>
      <c r="C55" s="1377"/>
      <c r="D55" s="2270" t="str">
        <f>"(--&gt;" &amp;R55&amp; "€/10 MJNEL)"</f>
        <v>(--&gt;0,1498€/10 MJNEL)</v>
      </c>
      <c r="E55" s="2270"/>
      <c r="F55" s="2271"/>
      <c r="G55" s="478" t="s">
        <v>474</v>
      </c>
      <c r="H55" s="28"/>
      <c r="I55" s="1382"/>
      <c r="J55" s="1425"/>
      <c r="K55" s="2269">
        <f>$J54*$R55</f>
        <v>239.76973020000003</v>
      </c>
      <c r="L55" s="865"/>
      <c r="M55" s="2268">
        <f>$L54*$R55</f>
        <v>220.07604850000007</v>
      </c>
      <c r="N55" s="479"/>
      <c r="O55" s="2267">
        <f>$N54*$R55</f>
        <v>192.27519080000008</v>
      </c>
      <c r="P55" s="2503"/>
      <c r="Q55"/>
      <c r="R55" s="2523">
        <f>VLOOKUP($R$53,Preise!$C$74:$N$81,12,FALSE)</f>
        <v>0.14980000000000002</v>
      </c>
      <c r="S55" s="2523" t="s">
        <v>517</v>
      </c>
      <c r="T55" t="s">
        <v>474</v>
      </c>
      <c r="U55"/>
      <c r="V55"/>
      <c r="W55"/>
      <c r="AB55" s="2523"/>
      <c r="AC55" s="2523"/>
      <c r="AD55" s="2523"/>
      <c r="AE55" s="2523"/>
      <c r="AF55" s="2523"/>
      <c r="AI55" s="2523"/>
      <c r="AK55" s="2523"/>
      <c r="AM55" s="2523"/>
      <c r="AO55" s="2523"/>
      <c r="AQ55" s="2523"/>
      <c r="AS55" s="2523"/>
      <c r="AX55" s="2523"/>
      <c r="AY55" s="2523"/>
      <c r="BC55" s="117"/>
      <c r="BD55" s="119"/>
      <c r="BE55" s="2994"/>
    </row>
    <row r="56" spans="1:60" s="241" customFormat="1" ht="17.100000000000001" customHeight="1" x14ac:dyDescent="0.2">
      <c r="A56" s="2503"/>
      <c r="B56" s="226"/>
      <c r="C56" s="3820"/>
      <c r="D56" s="3819" t="str">
        <f>VLOOKUP(R56,Preise!$C$62:$E$68,2,FALSE)</f>
        <v>Weide</v>
      </c>
      <c r="E56" s="3821"/>
      <c r="F56" s="2525"/>
      <c r="G56" s="2257"/>
      <c r="H56" s="2522" t="s">
        <v>516</v>
      </c>
      <c r="I56" s="2258" t="s">
        <v>961</v>
      </c>
      <c r="J56" s="2259"/>
      <c r="K56" s="2526"/>
      <c r="L56" s="2261"/>
      <c r="M56" s="2527"/>
      <c r="N56" s="2261"/>
      <c r="O56" s="2528"/>
      <c r="P56" s="2503"/>
      <c r="Q56"/>
      <c r="R56" s="2523">
        <v>5</v>
      </c>
      <c r="S56" s="2523" t="str">
        <f>VLOOKUP($R$56,Preise!$C$62:$N$68,2,FALSE)</f>
        <v>Weide</v>
      </c>
      <c r="T56" t="s">
        <v>518</v>
      </c>
      <c r="U56"/>
      <c r="V56"/>
      <c r="W56"/>
      <c r="AB56" s="2523">
        <f>J56</f>
        <v>0</v>
      </c>
      <c r="AC56" s="2523">
        <f>K56</f>
        <v>0</v>
      </c>
      <c r="AD56" s="2523">
        <f>L56</f>
        <v>0</v>
      </c>
      <c r="AE56" s="2523">
        <f>M56</f>
        <v>0</v>
      </c>
      <c r="AF56" s="2523">
        <f>N56</f>
        <v>0</v>
      </c>
      <c r="AI56" s="2523">
        <f t="shared" si="1"/>
        <v>0</v>
      </c>
      <c r="AK56" s="2523">
        <f t="shared" si="2"/>
        <v>0</v>
      </c>
      <c r="AM56" s="2523">
        <f t="shared" si="3"/>
        <v>0</v>
      </c>
      <c r="AO56" s="2523">
        <f t="shared" si="4"/>
        <v>0</v>
      </c>
      <c r="AQ56" s="2523">
        <f t="shared" si="5"/>
        <v>0</v>
      </c>
      <c r="AS56" s="2523">
        <f t="shared" si="6"/>
        <v>0</v>
      </c>
      <c r="AX56" s="2523"/>
      <c r="AY56" s="2523"/>
      <c r="BC56" s="117"/>
      <c r="BD56" s="119"/>
      <c r="BE56" s="2994"/>
    </row>
    <row r="57" spans="1:60" s="241" customFormat="1" ht="16.5" customHeight="1" x14ac:dyDescent="0.2">
      <c r="A57" s="2503"/>
      <c r="B57" s="226"/>
      <c r="C57" s="1377"/>
      <c r="D57" s="2270" t="str">
        <f>"(--&gt;" &amp;R57&amp; "€/10 MJNEL)"</f>
        <v>(--&gt;0,3317€/10 MJNEL)</v>
      </c>
      <c r="G57" s="478" t="s">
        <v>861</v>
      </c>
      <c r="H57" s="28"/>
      <c r="I57" s="1382" t="s">
        <v>136</v>
      </c>
      <c r="J57" s="1425">
        <f>J49*J56/100</f>
        <v>0</v>
      </c>
      <c r="K57" s="2269">
        <f>J57*$R$57</f>
        <v>0</v>
      </c>
      <c r="L57" s="865">
        <f>L49*L56/100</f>
        <v>0</v>
      </c>
      <c r="M57" s="2268">
        <f>L57*$R$57</f>
        <v>0</v>
      </c>
      <c r="N57" s="479">
        <f>N49*N56/100</f>
        <v>0</v>
      </c>
      <c r="O57" s="2272">
        <f>N57*$R$57</f>
        <v>0</v>
      </c>
      <c r="P57" s="2503"/>
      <c r="Q57"/>
      <c r="R57" s="2523">
        <f>VLOOKUP($R$56,Preise!$C$62:$N$69,12,FALSE)</f>
        <v>0.33169999999999999</v>
      </c>
      <c r="S57" s="2523" t="s">
        <v>517</v>
      </c>
      <c r="T57" t="s">
        <v>1115</v>
      </c>
      <c r="U57"/>
      <c r="V57"/>
      <c r="W57"/>
      <c r="AB57" s="2523">
        <f>SUM(AB50:AB56)</f>
        <v>100</v>
      </c>
      <c r="AC57" s="2523">
        <f>SUM(AC50:AC56)</f>
        <v>0</v>
      </c>
      <c r="AD57" s="2523">
        <f>SUM(AD50:AD56)</f>
        <v>100</v>
      </c>
      <c r="AE57" s="2523">
        <f>SUM(AE50:AE56)</f>
        <v>0</v>
      </c>
      <c r="AF57" s="2523">
        <f>SUM(AF50:AF56)</f>
        <v>100</v>
      </c>
      <c r="AI57" s="2523">
        <f t="shared" si="1"/>
        <v>0</v>
      </c>
      <c r="AK57" s="2523">
        <f t="shared" si="2"/>
        <v>0</v>
      </c>
      <c r="AM57" s="2523">
        <f t="shared" si="3"/>
        <v>0</v>
      </c>
      <c r="AO57" s="2523">
        <f t="shared" si="4"/>
        <v>0</v>
      </c>
      <c r="AQ57" s="2523">
        <f t="shared" si="5"/>
        <v>0</v>
      </c>
      <c r="AS57" s="2523">
        <f t="shared" si="6"/>
        <v>0</v>
      </c>
      <c r="AX57" s="2523">
        <f>VLOOKUP(R56,Preise!$C$62:$U$69,Preise!$T$60,FALSE)</f>
        <v>4457</v>
      </c>
      <c r="AY57" s="2523">
        <f>VLOOKUP($R56,Preise!$C$62:$U$69,Preise!$U$60,FALSE)</f>
        <v>16.2</v>
      </c>
      <c r="AZ57" s="2523">
        <f>$J56/100*AY57</f>
        <v>0</v>
      </c>
      <c r="BA57" s="2523">
        <f>$L56/100*AY57</f>
        <v>0</v>
      </c>
      <c r="BB57" s="2995">
        <f>$N56/100*AY57</f>
        <v>0</v>
      </c>
      <c r="BC57" s="2997">
        <f>J57/$AX57</f>
        <v>0</v>
      </c>
      <c r="BD57" s="2997">
        <f>L57/$AX57</f>
        <v>0</v>
      </c>
      <c r="BE57" s="2997">
        <f>N57/$AX57</f>
        <v>0</v>
      </c>
      <c r="BF57" s="2996">
        <f>$AY57*BC57</f>
        <v>0</v>
      </c>
      <c r="BG57" s="2523">
        <f>$AY57*BD57</f>
        <v>0</v>
      </c>
      <c r="BH57" s="2523">
        <f>$AY57*BE57</f>
        <v>0</v>
      </c>
    </row>
    <row r="58" spans="1:60" s="241" customFormat="1" ht="16.5" customHeight="1" x14ac:dyDescent="0.2">
      <c r="A58" s="2503"/>
      <c r="B58" s="226"/>
      <c r="C58" s="1377"/>
      <c r="D58" s="2529" t="str">
        <f>"(--&gt;" &amp;R58&amp; "€/10 MJNEL)"</f>
        <v>(--&gt;0,1391€/10 MJNEL)</v>
      </c>
      <c r="E58" s="2529"/>
      <c r="F58" s="135"/>
      <c r="G58" s="2656" t="s">
        <v>474</v>
      </c>
      <c r="H58" s="16"/>
      <c r="I58" s="2657"/>
      <c r="J58" s="1426"/>
      <c r="K58" s="2269">
        <f>$J57*$R58</f>
        <v>0</v>
      </c>
      <c r="L58" s="865"/>
      <c r="M58" s="2268">
        <f>$L57*$R58</f>
        <v>0</v>
      </c>
      <c r="N58" s="479"/>
      <c r="O58" s="2267">
        <f>$N57*$R58</f>
        <v>0</v>
      </c>
      <c r="P58" s="2503"/>
      <c r="Q58"/>
      <c r="R58" s="2523">
        <f>VLOOKUP($R$56,Preise!$C$74:$N$81,12,FALSE)</f>
        <v>0.1391</v>
      </c>
      <c r="S58" s="2523" t="s">
        <v>517</v>
      </c>
      <c r="T58" t="s">
        <v>474</v>
      </c>
      <c r="U58"/>
      <c r="V58"/>
      <c r="W58"/>
      <c r="AB58" s="2523"/>
      <c r="AC58" s="2523"/>
      <c r="AD58" s="2523"/>
      <c r="AE58" s="2523"/>
      <c r="AF58" s="2523"/>
      <c r="AI58" s="2523"/>
      <c r="AK58" s="2523"/>
      <c r="AM58" s="2523"/>
      <c r="AO58" s="2523"/>
      <c r="AQ58" s="2523"/>
      <c r="AS58" s="2523"/>
      <c r="AX58" s="2523"/>
      <c r="AY58" s="2523"/>
      <c r="BC58" s="117"/>
      <c r="BD58" s="119"/>
      <c r="BE58" s="2994"/>
    </row>
    <row r="59" spans="1:60" s="241" customFormat="1" ht="17.100000000000001" customHeight="1" x14ac:dyDescent="0.2">
      <c r="A59" s="2503"/>
      <c r="B59" s="226"/>
      <c r="C59" s="1380"/>
      <c r="D59" s="73" t="s">
        <v>514</v>
      </c>
      <c r="E59" s="71"/>
      <c r="F59" s="111" t="str">
        <f>"(ohne Fu-bau, bei "&amp;Stammdaten!$P$39&amp;" €/AKh)"</f>
        <v>(ohne Fu-bau, bei 17,5 €/AKh)</v>
      </c>
      <c r="G59" s="111"/>
      <c r="H59" s="111"/>
      <c r="I59" s="1386" t="s">
        <v>1141</v>
      </c>
      <c r="J59" s="1427"/>
      <c r="K59" s="140">
        <f>J60*Stammdaten!$P$39</f>
        <v>787.5</v>
      </c>
      <c r="L59" s="2536"/>
      <c r="M59" s="839">
        <f>L60*Stammdaten!$P$39</f>
        <v>822.5</v>
      </c>
      <c r="N59" s="2537"/>
      <c r="O59" s="2036">
        <f>N60*Stammdaten!$P$39</f>
        <v>857.5</v>
      </c>
      <c r="P59" s="2503"/>
      <c r="Q59"/>
      <c r="R59"/>
      <c r="S59"/>
      <c r="T59"/>
      <c r="U59"/>
      <c r="V59"/>
      <c r="W59"/>
      <c r="X59"/>
      <c r="Y59"/>
      <c r="Z59"/>
      <c r="AH59" s="241" t="s">
        <v>582</v>
      </c>
      <c r="AI59" s="2523">
        <f>AI50+AI53+AI56</f>
        <v>0</v>
      </c>
      <c r="AK59" s="2523">
        <f>AK50+AK53+AK56</f>
        <v>0</v>
      </c>
      <c r="AM59" s="2523">
        <f>AM50+AM53+AM56</f>
        <v>0</v>
      </c>
      <c r="AN59" s="109" t="s">
        <v>582</v>
      </c>
      <c r="AO59" s="2523">
        <f>AO50+AO53+AO56</f>
        <v>0</v>
      </c>
      <c r="AQ59" s="2523">
        <f>AQ50+AQ53+AQ56</f>
        <v>0</v>
      </c>
      <c r="AS59" s="2523">
        <f>AS50+AS53+AS56</f>
        <v>0</v>
      </c>
      <c r="AX59" s="2523"/>
      <c r="AY59" s="2523"/>
      <c r="BC59" s="117"/>
      <c r="BD59" s="119"/>
      <c r="BE59" s="2994"/>
    </row>
    <row r="60" spans="1:60" s="241" customFormat="1" ht="17.100000000000001" customHeight="1" x14ac:dyDescent="0.2">
      <c r="A60" s="2503"/>
      <c r="B60" s="226"/>
      <c r="C60" s="1383"/>
      <c r="D60" s="138"/>
      <c r="E60" s="82" t="s">
        <v>48</v>
      </c>
      <c r="F60" s="79"/>
      <c r="G60" s="127"/>
      <c r="H60" s="127"/>
      <c r="I60" s="1385" t="s">
        <v>49</v>
      </c>
      <c r="J60" s="1428">
        <v>45</v>
      </c>
      <c r="K60" s="154"/>
      <c r="L60" s="165">
        <v>47</v>
      </c>
      <c r="M60" s="866"/>
      <c r="N60" s="165">
        <v>49</v>
      </c>
      <c r="O60" s="2047"/>
      <c r="P60" s="2503"/>
      <c r="Q60"/>
      <c r="R60"/>
      <c r="S60"/>
      <c r="T60"/>
      <c r="U60"/>
      <c r="V60"/>
      <c r="W60"/>
      <c r="X60"/>
      <c r="Y60"/>
      <c r="Z60"/>
      <c r="AB60" s="241" t="s">
        <v>110</v>
      </c>
      <c r="AX60" s="241" t="s">
        <v>180</v>
      </c>
      <c r="AZ60" s="2523">
        <f t="shared" ref="AZ60:BH60" si="7">AZ51+AZ54+AZ57</f>
        <v>13.719999999999999</v>
      </c>
      <c r="BA60" s="2523">
        <f t="shared" si="7"/>
        <v>13.95</v>
      </c>
      <c r="BB60" s="2995">
        <f t="shared" si="7"/>
        <v>14.18</v>
      </c>
      <c r="BC60" s="2997">
        <f t="shared" si="7"/>
        <v>0.53326898894538544</v>
      </c>
      <c r="BD60" s="2997">
        <f t="shared" si="7"/>
        <v>0.5557800619950406</v>
      </c>
      <c r="BE60" s="2997">
        <f t="shared" si="7"/>
        <v>0.57247400906688584</v>
      </c>
      <c r="BF60" s="2996">
        <f t="shared" si="7"/>
        <v>7.1581723476004591</v>
      </c>
      <c r="BG60" s="2523">
        <f t="shared" si="7"/>
        <v>7.5715345227172914</v>
      </c>
      <c r="BH60" s="2523">
        <f t="shared" si="7"/>
        <v>7.9272927324407014</v>
      </c>
    </row>
    <row r="61" spans="1:60" s="241" customFormat="1" ht="17.100000000000001" customHeight="1" x14ac:dyDescent="0.2">
      <c r="A61" s="2503"/>
      <c r="B61" s="226"/>
      <c r="C61" s="1377"/>
      <c r="D61" s="2691" t="s">
        <v>592</v>
      </c>
      <c r="F61" s="2691"/>
      <c r="G61" s="2692"/>
      <c r="H61" s="2692"/>
      <c r="I61" s="2693" t="s">
        <v>865</v>
      </c>
      <c r="J61" s="2658">
        <f>BF60</f>
        <v>7.1581723476004591</v>
      </c>
      <c r="K61" s="2694">
        <f>J61*Stammdaten!$P$39</f>
        <v>125.26801608300804</v>
      </c>
      <c r="L61" s="2660">
        <f>BG60</f>
        <v>7.5715345227172914</v>
      </c>
      <c r="M61" s="2695">
        <f>L61*Stammdaten!$P$39</f>
        <v>132.50185414755259</v>
      </c>
      <c r="N61" s="2659">
        <f>BH60</f>
        <v>7.9272927324407014</v>
      </c>
      <c r="O61" s="2696">
        <f>N61*Stammdaten!$P$39</f>
        <v>138.72762281771227</v>
      </c>
      <c r="P61" s="2503"/>
      <c r="Q61"/>
      <c r="R61"/>
      <c r="S61"/>
      <c r="T61"/>
      <c r="U61"/>
      <c r="V61"/>
      <c r="W61"/>
      <c r="X61"/>
      <c r="Y61"/>
      <c r="Z61"/>
    </row>
    <row r="62" spans="1:60" ht="21.2" customHeight="1" x14ac:dyDescent="0.2">
      <c r="A62" s="2503"/>
      <c r="C62" s="1370"/>
      <c r="D62" s="115" t="s">
        <v>50</v>
      </c>
      <c r="E62" s="113"/>
      <c r="F62" s="121"/>
      <c r="G62" s="121"/>
      <c r="H62" s="121"/>
      <c r="I62" s="1384" t="s">
        <v>51</v>
      </c>
      <c r="J62" s="1429"/>
      <c r="K62" s="136">
        <f>M62</f>
        <v>483.69533333333328</v>
      </c>
      <c r="L62" s="957"/>
      <c r="M62" s="853">
        <f>Stammdaten!S52</f>
        <v>483.69533333333328</v>
      </c>
      <c r="N62" s="223"/>
      <c r="O62" s="1413">
        <f>M62</f>
        <v>483.69533333333328</v>
      </c>
      <c r="P62" s="2503"/>
      <c r="Q62"/>
      <c r="R62"/>
      <c r="S62"/>
      <c r="T62"/>
      <c r="U62"/>
      <c r="V62"/>
      <c r="W62"/>
      <c r="X62"/>
      <c r="Y62"/>
      <c r="Z62"/>
      <c r="AM62"/>
      <c r="AN62"/>
      <c r="AO62"/>
    </row>
    <row r="63" spans="1:60" ht="21.2" customHeight="1" x14ac:dyDescent="0.2">
      <c r="A63" s="2503"/>
      <c r="C63" s="1371"/>
      <c r="D63" s="123" t="s">
        <v>52</v>
      </c>
      <c r="E63" s="130"/>
      <c r="I63" s="1386" t="s">
        <v>51</v>
      </c>
      <c r="J63" s="1371"/>
      <c r="K63" s="156">
        <f>M63</f>
        <v>268.0435333333333</v>
      </c>
      <c r="L63" s="958"/>
      <c r="M63" s="854">
        <f>Stammdaten!V52</f>
        <v>268.0435333333333</v>
      </c>
      <c r="N63" s="959"/>
      <c r="O63" s="1414">
        <f>M63</f>
        <v>268.0435333333333</v>
      </c>
      <c r="P63" s="2503"/>
      <c r="Q63"/>
      <c r="R63"/>
      <c r="S63"/>
      <c r="T63"/>
      <c r="U63"/>
      <c r="V63"/>
      <c r="W63"/>
      <c r="X63"/>
      <c r="Y63"/>
      <c r="Z63"/>
      <c r="AB63"/>
      <c r="AC63"/>
      <c r="AD63"/>
      <c r="AG63"/>
      <c r="AH63"/>
      <c r="AM63"/>
      <c r="AN63"/>
      <c r="AO63"/>
    </row>
    <row r="64" spans="1:60" ht="21.2" customHeight="1" thickBot="1" x14ac:dyDescent="0.25">
      <c r="A64" s="2503"/>
      <c r="C64" s="1388"/>
      <c r="D64" s="3066" t="s">
        <v>53</v>
      </c>
      <c r="E64" s="1389"/>
      <c r="F64" s="1390"/>
      <c r="G64" s="1390"/>
      <c r="H64" s="1390"/>
      <c r="I64" s="3067" t="s">
        <v>51</v>
      </c>
      <c r="J64" s="1388"/>
      <c r="K64" s="3068">
        <f>M64</f>
        <v>93.12939999999999</v>
      </c>
      <c r="L64" s="3069"/>
      <c r="M64" s="3070">
        <f>Stammdaten!X52</f>
        <v>93.12939999999999</v>
      </c>
      <c r="N64" s="3071"/>
      <c r="O64" s="3072">
        <f>M64</f>
        <v>93.12939999999999</v>
      </c>
      <c r="P64" s="2503"/>
      <c r="Q64" s="152"/>
      <c r="R64" s="533"/>
      <c r="S64"/>
      <c r="T64"/>
      <c r="U64"/>
      <c r="V64"/>
      <c r="W64"/>
      <c r="X64"/>
      <c r="Y64"/>
      <c r="Z64"/>
      <c r="AB64"/>
      <c r="AC64"/>
      <c r="AD64"/>
      <c r="AG64"/>
      <c r="AH64"/>
      <c r="AM64"/>
      <c r="AN64"/>
      <c r="AO64"/>
    </row>
    <row r="65" spans="1:38" ht="21.2" hidden="1" customHeight="1" x14ac:dyDescent="0.2">
      <c r="A65" s="2503"/>
      <c r="C65" s="1371"/>
      <c r="D65" s="123" t="s">
        <v>54</v>
      </c>
      <c r="I65" s="1386" t="s">
        <v>1141</v>
      </c>
      <c r="J65" s="3064"/>
      <c r="K65" s="156">
        <f>IF(Stammdaten!P54=0,0,K67/Stammdaten!$P$55+K67*Stammdaten!$P$33/100/2)</f>
        <v>0</v>
      </c>
      <c r="L65" s="3065"/>
      <c r="M65" s="854">
        <f>IF(Stammdaten!P54=0,0,M67/Stammdaten!$P$55+M67*Stammdaten!$P$33/100/2)</f>
        <v>0</v>
      </c>
      <c r="N65" s="22"/>
      <c r="O65" s="1414">
        <f>IF(Stammdaten!P54=0,0,O67/Stammdaten!$P$55+O67*Stammdaten!$P$33/100/2)</f>
        <v>0</v>
      </c>
      <c r="P65" s="2503"/>
      <c r="Q65"/>
      <c r="R65"/>
      <c r="S65" s="246"/>
      <c r="T65" s="246"/>
      <c r="U65" s="108"/>
      <c r="V65" s="108"/>
      <c r="AB65"/>
      <c r="AC65"/>
      <c r="AD65"/>
    </row>
    <row r="66" spans="1:38" ht="17.100000000000001" hidden="1" customHeight="1" x14ac:dyDescent="0.2">
      <c r="A66" s="2503"/>
      <c r="C66" s="1371"/>
      <c r="D66" s="123"/>
      <c r="E66" s="22" t="s">
        <v>55</v>
      </c>
      <c r="I66" s="1368" t="s">
        <v>1143</v>
      </c>
      <c r="J66" s="1430">
        <f>L66</f>
        <v>0</v>
      </c>
      <c r="K66" s="403">
        <f>M66</f>
        <v>0</v>
      </c>
      <c r="L66" s="867">
        <f>M66</f>
        <v>0</v>
      </c>
      <c r="M66" s="868">
        <f>Stammdaten!P54</f>
        <v>0</v>
      </c>
      <c r="N66" s="402">
        <f>L66</f>
        <v>0</v>
      </c>
      <c r="O66" s="2048">
        <f>M66</f>
        <v>0</v>
      </c>
      <c r="P66" s="2503"/>
      <c r="Q66"/>
      <c r="R66"/>
      <c r="S66" s="242"/>
      <c r="T66" s="242"/>
      <c r="U66" s="108"/>
      <c r="V66" s="108"/>
      <c r="AC66"/>
      <c r="AD66"/>
      <c r="AL66"/>
    </row>
    <row r="67" spans="1:38" ht="17.100000000000001" hidden="1" customHeight="1" x14ac:dyDescent="0.2">
      <c r="A67" s="2503"/>
      <c r="C67" s="1371"/>
      <c r="D67" s="130"/>
      <c r="E67" s="22" t="str">
        <f>"(bei AFA von "&amp;Stammdaten!P55&amp;" Jahren und "&amp;Stammdaten!P33&amp;" % Zinsansatz)"</f>
        <v>(bei AFA von 0 Jahren und 0 % Zinsansatz)</v>
      </c>
      <c r="F67" s="130"/>
      <c r="G67" s="130"/>
      <c r="H67" s="157"/>
      <c r="I67" s="1368" t="s">
        <v>191</v>
      </c>
      <c r="J67" s="1406"/>
      <c r="K67" s="397">
        <f>K66*J7</f>
        <v>0</v>
      </c>
      <c r="L67" s="851"/>
      <c r="M67" s="869">
        <f>M66*L7</f>
        <v>0</v>
      </c>
      <c r="N67" s="37"/>
      <c r="O67" s="2049">
        <f>O66*N7</f>
        <v>0</v>
      </c>
      <c r="P67" s="2503"/>
      <c r="Q67"/>
      <c r="R67"/>
      <c r="U67" s="108"/>
      <c r="V67" s="108"/>
      <c r="AL67"/>
    </row>
    <row r="68" spans="1:38" ht="2.25" hidden="1" customHeight="1" thickBot="1" x14ac:dyDescent="0.25">
      <c r="A68" s="2503"/>
      <c r="C68" s="1388"/>
      <c r="D68" s="1389"/>
      <c r="E68" s="1754"/>
      <c r="F68" s="1390"/>
      <c r="G68" s="1390"/>
      <c r="H68" s="1390"/>
      <c r="I68" s="1391"/>
      <c r="J68" s="2030"/>
      <c r="K68" s="2028"/>
      <c r="L68" s="2026"/>
      <c r="M68" s="2029"/>
      <c r="N68" s="2027"/>
      <c r="O68" s="2050"/>
      <c r="P68" s="2503"/>
    </row>
    <row r="69" spans="1:38" ht="17.100000000000001" customHeight="1" x14ac:dyDescent="0.2">
      <c r="A69" s="2503"/>
      <c r="E69" s="124"/>
      <c r="P69" s="2503"/>
    </row>
    <row r="70" spans="1:38" x14ac:dyDescent="0.2">
      <c r="A70" s="2503"/>
      <c r="P70" s="2503"/>
    </row>
    <row r="71" spans="1:38" x14ac:dyDescent="0.2">
      <c r="A71" s="2503"/>
      <c r="P71" s="2503"/>
    </row>
    <row r="72" spans="1:38" x14ac:dyDescent="0.2">
      <c r="A72" s="2503"/>
      <c r="P72" s="2503"/>
    </row>
    <row r="73" spans="1:38" x14ac:dyDescent="0.2">
      <c r="A73" s="2503"/>
      <c r="P73" s="2503"/>
    </row>
    <row r="74" spans="1:38" x14ac:dyDescent="0.2">
      <c r="A74" s="2503"/>
      <c r="P74" s="2503"/>
    </row>
    <row r="75" spans="1:38" x14ac:dyDescent="0.2">
      <c r="A75" s="2503"/>
      <c r="C75" s="139"/>
      <c r="D75" s="121" t="s">
        <v>64</v>
      </c>
      <c r="E75" s="121"/>
      <c r="F75" s="121"/>
      <c r="G75" s="121"/>
      <c r="H75" s="121"/>
      <c r="I75" s="2204" t="s">
        <v>1108</v>
      </c>
      <c r="J75" s="2200">
        <f>J30</f>
        <v>17.5</v>
      </c>
      <c r="K75" s="336"/>
      <c r="L75" s="2200">
        <f>L30</f>
        <v>16.75</v>
      </c>
      <c r="M75" s="336"/>
      <c r="N75" s="2200">
        <f>N30</f>
        <v>16</v>
      </c>
      <c r="O75" s="2196"/>
      <c r="P75" s="2503"/>
    </row>
    <row r="76" spans="1:38" x14ac:dyDescent="0.2">
      <c r="A76" s="2503"/>
      <c r="C76" s="131"/>
      <c r="J76" s="2201">
        <f>J31</f>
        <v>5</v>
      </c>
      <c r="K76" s="300"/>
      <c r="L76" s="2201">
        <f>L31</f>
        <v>7</v>
      </c>
      <c r="M76" s="300"/>
      <c r="N76" s="2201">
        <f>N31</f>
        <v>9</v>
      </c>
      <c r="O76" s="300"/>
      <c r="P76" s="2503"/>
    </row>
    <row r="77" spans="1:38" x14ac:dyDescent="0.2">
      <c r="A77" s="2503"/>
      <c r="C77" s="131"/>
      <c r="J77" s="2201">
        <f>J32</f>
        <v>0.2</v>
      </c>
      <c r="K77" s="300"/>
      <c r="L77" s="2201">
        <f>L32</f>
        <v>0.3</v>
      </c>
      <c r="M77" s="300"/>
      <c r="N77" s="2201">
        <f>N32</f>
        <v>0.4</v>
      </c>
      <c r="O77" s="300"/>
      <c r="P77" s="2503"/>
    </row>
    <row r="78" spans="1:38" x14ac:dyDescent="0.2">
      <c r="A78" s="2503"/>
      <c r="C78" s="131"/>
      <c r="J78" s="2201">
        <f>J34</f>
        <v>0.05</v>
      </c>
      <c r="K78" s="300"/>
      <c r="L78" s="2201">
        <f>L34</f>
        <v>0.05</v>
      </c>
      <c r="M78" s="300"/>
      <c r="N78" s="2201">
        <f>N34</f>
        <v>0.05</v>
      </c>
      <c r="O78" s="300"/>
      <c r="P78" s="2503"/>
    </row>
    <row r="79" spans="1:38" x14ac:dyDescent="0.2">
      <c r="A79" s="2503"/>
      <c r="C79" s="2567"/>
      <c r="D79" s="155" t="s">
        <v>464</v>
      </c>
      <c r="E79" s="155"/>
      <c r="F79" s="155"/>
      <c r="G79" s="155"/>
      <c r="H79" s="155"/>
      <c r="I79" s="2568"/>
      <c r="J79" s="2569">
        <f>SUM(J75:J78)</f>
        <v>22.75</v>
      </c>
      <c r="K79" s="2260"/>
      <c r="L79" s="2569">
        <f>SUM(L75:L78)</f>
        <v>24.1</v>
      </c>
      <c r="M79" s="2260"/>
      <c r="N79" s="2569">
        <f>SUM(N75:N78)</f>
        <v>25.45</v>
      </c>
      <c r="O79" s="2260"/>
      <c r="P79" s="2503"/>
    </row>
    <row r="80" spans="1:38" x14ac:dyDescent="0.2">
      <c r="A80" s="2503"/>
      <c r="C80" s="131"/>
      <c r="D80" s="111" t="s">
        <v>465</v>
      </c>
      <c r="G80" s="2195">
        <v>0.88</v>
      </c>
      <c r="J80" s="131">
        <f>J79*$G$80</f>
        <v>20.02</v>
      </c>
      <c r="K80" s="2197"/>
      <c r="L80" s="131">
        <f>L79*$G$80</f>
        <v>21.208000000000002</v>
      </c>
      <c r="M80" s="2197"/>
      <c r="N80" s="131">
        <f>N79*$G$80</f>
        <v>22.396000000000001</v>
      </c>
      <c r="O80" s="2199"/>
      <c r="P80" s="2503"/>
    </row>
    <row r="81" spans="1:18" x14ac:dyDescent="0.2">
      <c r="A81" s="2503"/>
      <c r="C81" s="131"/>
      <c r="G81" s="28"/>
      <c r="I81" s="152" t="s">
        <v>736</v>
      </c>
      <c r="J81" s="2203">
        <f>J80*100</f>
        <v>2002</v>
      </c>
      <c r="K81" s="2198" t="s">
        <v>857</v>
      </c>
      <c r="L81" s="2203">
        <f>L80*100</f>
        <v>2120.8000000000002</v>
      </c>
      <c r="M81" s="2198" t="s">
        <v>857</v>
      </c>
      <c r="N81" s="2203">
        <f>N80*100</f>
        <v>2239.6</v>
      </c>
      <c r="O81" s="2198" t="s">
        <v>857</v>
      </c>
      <c r="P81" s="2503"/>
    </row>
    <row r="82" spans="1:18" x14ac:dyDescent="0.2">
      <c r="A82" s="2503"/>
      <c r="C82" s="139"/>
      <c r="D82" s="121"/>
      <c r="E82" s="121"/>
      <c r="F82" s="121"/>
      <c r="G82" s="259"/>
      <c r="H82" s="121"/>
      <c r="I82" s="2210"/>
      <c r="J82" s="139"/>
      <c r="K82" s="2196"/>
      <c r="L82" s="139"/>
      <c r="M82" s="2196"/>
      <c r="O82" s="2199"/>
      <c r="P82" s="2503"/>
    </row>
    <row r="83" spans="1:18" x14ac:dyDescent="0.2">
      <c r="A83" s="2503"/>
      <c r="C83" s="131"/>
      <c r="J83" s="131"/>
      <c r="K83" s="132"/>
      <c r="L83" s="131"/>
      <c r="M83" s="132"/>
      <c r="O83" s="132"/>
      <c r="P83" s="2503"/>
    </row>
    <row r="84" spans="1:18" customFormat="1" x14ac:dyDescent="0.2">
      <c r="A84" s="2503"/>
      <c r="C84" s="436"/>
      <c r="D84" s="259" t="s">
        <v>1097</v>
      </c>
      <c r="E84" s="259"/>
      <c r="F84" s="259"/>
      <c r="G84" s="121"/>
      <c r="H84" s="121"/>
      <c r="I84" s="2204" t="s">
        <v>1098</v>
      </c>
      <c r="J84" s="2213">
        <f>J49</f>
        <v>2667.665</v>
      </c>
      <c r="K84" s="336"/>
      <c r="L84" s="2213">
        <f>L49</f>
        <v>2938.2650000000003</v>
      </c>
      <c r="M84" s="336"/>
      <c r="N84" s="2214">
        <f>N49</f>
        <v>3208.8650000000007</v>
      </c>
      <c r="O84" s="336"/>
      <c r="P84" s="2503"/>
    </row>
    <row r="85" spans="1:18" customFormat="1" x14ac:dyDescent="0.2">
      <c r="A85" s="2503"/>
      <c r="C85" s="641"/>
      <c r="D85" s="16"/>
      <c r="E85" s="16"/>
      <c r="F85" s="2591" t="s">
        <v>466</v>
      </c>
      <c r="G85" s="2592">
        <v>6</v>
      </c>
      <c r="H85" s="2590" t="s">
        <v>872</v>
      </c>
      <c r="I85" s="1049" t="s">
        <v>736</v>
      </c>
      <c r="J85" s="2597">
        <f>J84/$G$85*10</f>
        <v>4446.1083333333336</v>
      </c>
      <c r="K85" s="2595" t="s">
        <v>857</v>
      </c>
      <c r="L85" s="2597">
        <f>L84/$G$85*10</f>
        <v>4897.1083333333336</v>
      </c>
      <c r="M85" s="2595" t="s">
        <v>857</v>
      </c>
      <c r="N85" s="2598">
        <f>N84/$G$85*10</f>
        <v>5348.1083333333345</v>
      </c>
      <c r="O85" s="2595" t="s">
        <v>857</v>
      </c>
      <c r="P85" s="2503"/>
      <c r="R85" s="3917" t="s">
        <v>1585</v>
      </c>
    </row>
    <row r="86" spans="1:18" customFormat="1" x14ac:dyDescent="0.2">
      <c r="A86" s="2503"/>
      <c r="C86" s="37"/>
      <c r="D86" s="111" t="s">
        <v>121</v>
      </c>
      <c r="E86" s="28"/>
      <c r="F86" s="28"/>
      <c r="G86" s="28"/>
      <c r="H86" s="28"/>
      <c r="I86" s="1748" t="s">
        <v>961</v>
      </c>
      <c r="J86" s="37">
        <f>AO59</f>
        <v>0</v>
      </c>
      <c r="K86" s="300"/>
      <c r="L86" s="37">
        <f>AQ59</f>
        <v>0</v>
      </c>
      <c r="M86" s="300"/>
      <c r="N86" s="28">
        <f>AS59</f>
        <v>0</v>
      </c>
      <c r="O86" s="300"/>
      <c r="P86" s="2503"/>
    </row>
    <row r="87" spans="1:18" customFormat="1" x14ac:dyDescent="0.2">
      <c r="A87" s="2503"/>
      <c r="C87" s="37"/>
      <c r="D87" s="111"/>
      <c r="E87" s="2583" t="s">
        <v>122</v>
      </c>
      <c r="F87" s="2583"/>
      <c r="G87" s="2583"/>
      <c r="H87" s="2583"/>
      <c r="I87" s="2580" t="s">
        <v>736</v>
      </c>
      <c r="J87" s="2584">
        <f>J85-(J85*J86)/100</f>
        <v>4446.1083333333336</v>
      </c>
      <c r="K87" s="2585" t="s">
        <v>857</v>
      </c>
      <c r="L87" s="2584">
        <f>L85-(L85*L86)/100</f>
        <v>4897.1083333333336</v>
      </c>
      <c r="M87" s="2585" t="s">
        <v>857</v>
      </c>
      <c r="N87" s="2584">
        <f>N85-(N85*N86)/100</f>
        <v>5348.1083333333345</v>
      </c>
      <c r="O87" s="2585" t="s">
        <v>857</v>
      </c>
      <c r="P87" s="2503"/>
    </row>
    <row r="88" spans="1:18" customFormat="1" x14ac:dyDescent="0.2">
      <c r="A88" s="2503"/>
      <c r="C88" s="436"/>
      <c r="D88" s="259" t="s">
        <v>757</v>
      </c>
      <c r="E88" s="259"/>
      <c r="F88" s="259"/>
      <c r="G88" s="259"/>
      <c r="H88" s="259"/>
      <c r="I88" s="2204" t="s">
        <v>736</v>
      </c>
      <c r="J88" s="2213">
        <f>J85+J81</f>
        <v>6448.1083333333336</v>
      </c>
      <c r="K88" s="2196" t="s">
        <v>857</v>
      </c>
      <c r="L88" s="2213">
        <f>L85+L81</f>
        <v>7017.9083333333338</v>
      </c>
      <c r="M88" s="2196" t="s">
        <v>857</v>
      </c>
      <c r="N88" s="2214">
        <f>N85+N81</f>
        <v>7587.7083333333339</v>
      </c>
      <c r="O88" s="2196" t="s">
        <v>857</v>
      </c>
      <c r="P88" s="2503"/>
    </row>
    <row r="89" spans="1:18" customFormat="1" x14ac:dyDescent="0.2">
      <c r="A89" s="2503"/>
      <c r="C89" s="2218"/>
      <c r="D89" s="523"/>
      <c r="E89" s="523"/>
      <c r="F89" s="523"/>
      <c r="G89" s="523"/>
      <c r="H89" s="523"/>
      <c r="I89" s="2564" t="s">
        <v>737</v>
      </c>
      <c r="J89" s="2221">
        <f>J88/365</f>
        <v>17.666050228310503</v>
      </c>
      <c r="K89" s="2216" t="s">
        <v>857</v>
      </c>
      <c r="L89" s="2221">
        <f>L88/365</f>
        <v>19.227146118721464</v>
      </c>
      <c r="M89" s="2216" t="s">
        <v>857</v>
      </c>
      <c r="N89" s="2222">
        <f>N88/365</f>
        <v>20.788242009132421</v>
      </c>
      <c r="O89" s="2216" t="s">
        <v>857</v>
      </c>
      <c r="P89" s="2503"/>
    </row>
    <row r="90" spans="1:18" customFormat="1" ht="15" x14ac:dyDescent="0.2">
      <c r="A90" s="2503"/>
      <c r="C90" s="641"/>
      <c r="D90" s="16" t="s">
        <v>292</v>
      </c>
      <c r="E90" s="16"/>
      <c r="F90" s="16"/>
      <c r="G90" s="16"/>
      <c r="H90" s="16"/>
      <c r="I90" s="2588"/>
      <c r="J90" s="2953">
        <v>3.7</v>
      </c>
      <c r="K90" s="2198"/>
      <c r="L90" s="2953">
        <v>3.7</v>
      </c>
      <c r="M90" s="2198"/>
      <c r="N90" s="2953">
        <v>3.7</v>
      </c>
      <c r="O90" s="2198"/>
      <c r="P90" s="2503"/>
      <c r="R90" t="s">
        <v>1520</v>
      </c>
    </row>
    <row r="91" spans="1:18" customFormat="1" ht="33" customHeight="1" x14ac:dyDescent="0.2">
      <c r="A91" s="2503"/>
      <c r="C91" s="385"/>
      <c r="D91" s="611" t="s">
        <v>467</v>
      </c>
      <c r="E91" s="611"/>
      <c r="F91" s="611"/>
      <c r="G91" s="2225">
        <f>F38</f>
        <v>4</v>
      </c>
      <c r="H91" s="611" t="s">
        <v>468</v>
      </c>
      <c r="I91" s="1601" t="s">
        <v>469</v>
      </c>
      <c r="J91" s="2209">
        <f>J88*$G$91/1000+J90</f>
        <v>29.492433333333334</v>
      </c>
      <c r="K91" s="612"/>
      <c r="L91" s="2209">
        <f>L88*$G$91/1000+L90</f>
        <v>31.771633333333334</v>
      </c>
      <c r="M91" s="612"/>
      <c r="N91" s="1324">
        <f>N88*$G$91/1000+N90</f>
        <v>34.050833333333337</v>
      </c>
      <c r="O91" s="612"/>
      <c r="P91" s="2503"/>
    </row>
    <row r="92" spans="1:18" customFormat="1" x14ac:dyDescent="0.2">
      <c r="A92" s="2503"/>
      <c r="C92" s="385" t="s">
        <v>112</v>
      </c>
      <c r="D92" s="611"/>
      <c r="E92" s="611"/>
      <c r="F92" s="611"/>
      <c r="G92" s="611"/>
      <c r="H92" s="611"/>
      <c r="I92" s="2556" t="s">
        <v>469</v>
      </c>
      <c r="J92" s="2209">
        <f>J23*(100-J86)/100</f>
        <v>22</v>
      </c>
      <c r="K92" s="612"/>
      <c r="L92" s="2209">
        <f>L23*(100-L86)/100</f>
        <v>22.5</v>
      </c>
      <c r="M92" s="612"/>
      <c r="N92" s="1324">
        <f>N23*(100-N86)/100</f>
        <v>23</v>
      </c>
      <c r="O92" s="612"/>
      <c r="P92" s="2503"/>
    </row>
    <row r="93" spans="1:18" customFormat="1" x14ac:dyDescent="0.2">
      <c r="A93" s="2503"/>
      <c r="C93" s="2561" t="s">
        <v>123</v>
      </c>
      <c r="D93" s="611"/>
      <c r="E93" s="611"/>
      <c r="F93" s="611"/>
      <c r="G93" s="611"/>
      <c r="H93" s="611"/>
      <c r="I93" s="2556" t="s">
        <v>736</v>
      </c>
      <c r="J93" s="2209">
        <f>J85*(100-AI59)/100</f>
        <v>4446.1083333333336</v>
      </c>
      <c r="K93" s="612"/>
      <c r="L93" s="2209">
        <f>L85*(100-AK59)/100</f>
        <v>4897.1083333333336</v>
      </c>
      <c r="M93" s="612"/>
      <c r="N93" s="1324">
        <f>N85*(100-AM59)/100</f>
        <v>5348.1083333333345</v>
      </c>
      <c r="O93" s="612"/>
      <c r="P93" s="2503"/>
    </row>
    <row r="94" spans="1:18" customFormat="1" x14ac:dyDescent="0.2">
      <c r="A94" s="2503"/>
      <c r="C94" s="2599"/>
      <c r="D94" s="259" t="s">
        <v>317</v>
      </c>
      <c r="E94" s="2606" t="s">
        <v>300</v>
      </c>
      <c r="F94" s="2606"/>
      <c r="G94" s="2607">
        <v>35</v>
      </c>
      <c r="H94" s="2606" t="s">
        <v>301</v>
      </c>
      <c r="I94" s="2602" t="s">
        <v>299</v>
      </c>
      <c r="J94" s="2608">
        <f>J93/$G$94*100</f>
        <v>12703.166666666668</v>
      </c>
      <c r="K94" s="2609"/>
      <c r="L94" s="2608">
        <f>L93/$G$94*100</f>
        <v>13991.738095238097</v>
      </c>
      <c r="M94" s="2609"/>
      <c r="N94" s="2610">
        <f>N93/$G$94*100</f>
        <v>15280.309523809527</v>
      </c>
      <c r="O94" s="2609"/>
      <c r="P94" s="2503"/>
    </row>
    <row r="95" spans="1:18" customFormat="1" x14ac:dyDescent="0.2">
      <c r="A95" s="2503"/>
      <c r="C95" s="2611"/>
      <c r="D95" s="523" t="s">
        <v>317</v>
      </c>
      <c r="E95" s="2614" t="s">
        <v>300</v>
      </c>
      <c r="F95" s="2614"/>
      <c r="G95" s="2615">
        <v>500</v>
      </c>
      <c r="H95" s="2614" t="s">
        <v>302</v>
      </c>
      <c r="I95" s="2616" t="s">
        <v>1109</v>
      </c>
      <c r="J95" s="2620">
        <f>J94/$G$95</f>
        <v>25.406333333333336</v>
      </c>
      <c r="K95" s="2621"/>
      <c r="L95" s="2620">
        <f>L94/$G$95</f>
        <v>27.983476190476196</v>
      </c>
      <c r="M95" s="2621"/>
      <c r="N95" s="2620">
        <f>N94/$G$95</f>
        <v>30.560619047619053</v>
      </c>
      <c r="O95" s="2621"/>
      <c r="P95" s="2503"/>
    </row>
    <row r="96" spans="1:18" customFormat="1" x14ac:dyDescent="0.2">
      <c r="A96" s="2503"/>
      <c r="C96" s="2562"/>
      <c r="D96" s="28"/>
      <c r="E96" s="28"/>
      <c r="F96" s="28"/>
      <c r="G96" s="28"/>
      <c r="H96" s="28"/>
      <c r="I96" s="1748"/>
      <c r="J96" s="2586"/>
      <c r="K96" s="28"/>
      <c r="L96" s="2586"/>
      <c r="M96" s="28"/>
      <c r="N96" s="2586"/>
      <c r="O96" s="28"/>
      <c r="P96" s="2503"/>
    </row>
    <row r="97" spans="1:16" customFormat="1" x14ac:dyDescent="0.2">
      <c r="A97" s="2503"/>
      <c r="C97" s="2562" t="s">
        <v>113</v>
      </c>
      <c r="P97" s="2503"/>
    </row>
    <row r="98" spans="1:16" customFormat="1" x14ac:dyDescent="0.2">
      <c r="A98" s="2503"/>
      <c r="C98" s="2562" t="s">
        <v>120</v>
      </c>
      <c r="P98" s="2503"/>
    </row>
    <row r="99" spans="1:16" customFormat="1" x14ac:dyDescent="0.2">
      <c r="A99" s="2503"/>
      <c r="P99" s="2503"/>
    </row>
    <row r="100" spans="1:16" customFormat="1" x14ac:dyDescent="0.2">
      <c r="A100" s="2503"/>
      <c r="B100" s="2503"/>
      <c r="C100" s="2503"/>
      <c r="D100" s="2503"/>
      <c r="E100" s="2503"/>
      <c r="F100" s="2503"/>
      <c r="G100" s="2503"/>
      <c r="H100" s="2503"/>
      <c r="I100" s="2503"/>
      <c r="J100" s="2503"/>
      <c r="K100" s="2503"/>
      <c r="L100" s="2503"/>
      <c r="M100" s="2503"/>
      <c r="N100" s="2503"/>
      <c r="O100" s="2503"/>
      <c r="P100" s="2503"/>
    </row>
    <row r="101" spans="1:16" customFormat="1" x14ac:dyDescent="0.2"/>
    <row r="102" spans="1:16" customFormat="1" x14ac:dyDescent="0.2"/>
    <row r="103" spans="1:16" customFormat="1" x14ac:dyDescent="0.2"/>
    <row r="104" spans="1:16" customFormat="1" x14ac:dyDescent="0.2"/>
    <row r="105" spans="1:16" customFormat="1" x14ac:dyDescent="0.2"/>
    <row r="106" spans="1:16" customFormat="1" x14ac:dyDescent="0.2"/>
    <row r="107" spans="1:16" customFormat="1" x14ac:dyDescent="0.2"/>
    <row r="108" spans="1:16" customFormat="1" x14ac:dyDescent="0.2"/>
    <row r="109" spans="1:16" customFormat="1" x14ac:dyDescent="0.2"/>
    <row r="110" spans="1:16" customFormat="1" x14ac:dyDescent="0.2"/>
    <row r="111" spans="1:16" customFormat="1" x14ac:dyDescent="0.2"/>
    <row r="112" spans="1:16" customFormat="1" x14ac:dyDescent="0.2"/>
    <row r="113" customFormat="1" x14ac:dyDescent="0.2"/>
  </sheetData>
  <sheetProtection sheet="1" objects="1" scenarios="1"/>
  <phoneticPr fontId="0" type="noConversion"/>
  <hyperlinks>
    <hyperlink ref="D113" location="D72" display="zurück zu Zeilen GVE"/>
  </hyperlinks>
  <printOptions horizontalCentered="1"/>
  <pageMargins left="0.39370078740157483" right="0.39370078740157483" top="0.59055118110236227" bottom="0.59055118110236227" header="0.19685039370078741" footer="0.19685039370078741"/>
  <pageSetup paperSize="9" scale="71" firstPageNumber="22" orientation="portrait" useFirstPageNumber="1" r:id="rId1"/>
  <headerFooter alignWithMargins="0">
    <oddFooter>&amp;LLEL Schwäb. Gmünd &amp;D&amp;C&amp;"Arial,Fett"&amp;12&amp;P&amp;RKalkulationsdaten Milchviehaltung;
&amp;F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9" r:id="rId4" name="Drop Down 5">
              <controlPr defaultSize="0" print="0" autoLine="0" autoPict="0">
                <anchor moveWithCells="1">
                  <from>
                    <xdr:col>3</xdr:col>
                    <xdr:colOff>9525</xdr:colOff>
                    <xdr:row>55</xdr:row>
                    <xdr:rowOff>28575</xdr:rowOff>
                  </from>
                  <to>
                    <xdr:col>5</xdr:col>
                    <xdr:colOff>323850</xdr:colOff>
                    <xdr:row>56</xdr:row>
                    <xdr:rowOff>38100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theme="1" tint="0.34998626667073579"/>
    <pageSetUpPr fitToPage="1"/>
  </sheetPr>
  <dimension ref="A1:AC250"/>
  <sheetViews>
    <sheetView showGridLines="0" showZeros="0" zoomScale="90" workbookViewId="0">
      <pane ySplit="9" topLeftCell="A25" activePane="bottomLeft" state="frozen"/>
      <selection activeCell="H69" sqref="H69"/>
      <selection pane="bottomLeft" activeCell="R7" sqref="R7"/>
    </sheetView>
  </sheetViews>
  <sheetFormatPr baseColWidth="10" defaultColWidth="11.5703125" defaultRowHeight="12.75" x14ac:dyDescent="0.2"/>
  <cols>
    <col min="1" max="1" width="1.28515625" style="4" customWidth="1"/>
    <col min="2" max="2" width="5" style="4" customWidth="1"/>
    <col min="3" max="3" width="3.85546875" style="3" customWidth="1"/>
    <col min="4" max="4" width="1.5703125" style="3" customWidth="1"/>
    <col min="5" max="5" width="5.85546875" style="3" customWidth="1"/>
    <col min="6" max="6" width="20.7109375" style="3" customWidth="1"/>
    <col min="7" max="7" width="15.7109375" style="3" customWidth="1"/>
    <col min="8" max="8" width="17.42578125" style="3" customWidth="1"/>
    <col min="9" max="9" width="12.28515625" style="84" customWidth="1"/>
    <col min="10" max="10" width="0.85546875" style="84" customWidth="1"/>
    <col min="11" max="11" width="10.140625" style="1192" customWidth="1"/>
    <col min="12" max="13" width="10" style="1192" customWidth="1"/>
    <col min="14" max="14" width="9.7109375" style="1192" customWidth="1"/>
    <col min="15" max="15" width="9.85546875" style="1192" customWidth="1"/>
    <col min="16" max="16" width="10.140625" style="1192" customWidth="1"/>
    <col min="17" max="17" width="2.5703125" style="4" customWidth="1"/>
    <col min="18" max="26" width="11.5703125" style="4" customWidth="1"/>
    <col min="27" max="27" width="9.28515625" style="4" customWidth="1"/>
    <col min="28" max="16384" width="11.5703125" style="4"/>
  </cols>
  <sheetData>
    <row r="1" spans="1:28" ht="22.15" customHeight="1" x14ac:dyDescent="0.2">
      <c r="A1" s="2503"/>
      <c r="B1" s="2503"/>
      <c r="C1" s="2503"/>
      <c r="D1" s="2503"/>
      <c r="E1" s="2503"/>
      <c r="F1" s="2503"/>
      <c r="G1" s="2503"/>
      <c r="H1" s="2503"/>
      <c r="I1" s="2503"/>
      <c r="J1" s="2503"/>
      <c r="K1" s="2503"/>
      <c r="L1" s="2503"/>
      <c r="M1" s="2503"/>
      <c r="N1" s="2503"/>
      <c r="O1" s="2503"/>
      <c r="P1" s="2503"/>
      <c r="Q1" s="2503"/>
    </row>
    <row r="2" spans="1:28" ht="19.5" customHeight="1" x14ac:dyDescent="0.2">
      <c r="A2" s="2503"/>
      <c r="C2" s="85" t="s">
        <v>57</v>
      </c>
      <c r="D2" s="4"/>
      <c r="E2" s="4"/>
      <c r="F2" s="4"/>
      <c r="G2"/>
      <c r="I2" s="292" t="s">
        <v>1130</v>
      </c>
      <c r="J2" s="4"/>
      <c r="K2" s="589"/>
      <c r="L2" s="589"/>
      <c r="P2" s="104" t="str">
        <f>'Sbt(a)'!O2</f>
        <v>Milchkuh; Holstein-Sbt.</v>
      </c>
      <c r="Q2" s="2503"/>
      <c r="U2" s="87"/>
      <c r="V2" s="87"/>
      <c r="W2" s="88"/>
      <c r="X2" s="3"/>
      <c r="Y2" s="3"/>
      <c r="Z2" s="89"/>
      <c r="AA2" s="89"/>
      <c r="AB2" s="89"/>
    </row>
    <row r="3" spans="1:28" ht="19.5" customHeight="1" x14ac:dyDescent="0.2">
      <c r="A3" s="2503"/>
      <c r="C3" s="85"/>
      <c r="D3" s="4"/>
      <c r="E3" s="4"/>
      <c r="F3" s="4"/>
      <c r="G3"/>
      <c r="H3"/>
      <c r="I3" s="292"/>
      <c r="J3" s="4"/>
      <c r="K3" s="589"/>
      <c r="L3" s="589"/>
      <c r="M3" s="1193"/>
      <c r="N3" s="1193"/>
      <c r="O3" s="1193"/>
      <c r="P3" s="1193"/>
      <c r="Q3" s="2503"/>
      <c r="U3" s="87"/>
      <c r="V3" s="87"/>
      <c r="W3" s="88"/>
      <c r="X3" s="3"/>
      <c r="Y3" s="3"/>
      <c r="Z3" s="89"/>
      <c r="AA3" s="89"/>
      <c r="AB3" s="89"/>
    </row>
    <row r="4" spans="1:28" ht="23.25" customHeight="1" x14ac:dyDescent="0.3">
      <c r="A4" s="2503"/>
      <c r="C4" s="296" t="s">
        <v>879</v>
      </c>
      <c r="D4" s="297"/>
      <c r="E4" s="296"/>
      <c r="F4" s="296">
        <f>'Sbt(a)'!E4</f>
        <v>44531</v>
      </c>
      <c r="G4" s="297"/>
      <c r="I4" s="298" t="s">
        <v>1009</v>
      </c>
      <c r="J4" s="297"/>
      <c r="K4" s="589"/>
      <c r="L4" s="589"/>
      <c r="M4" s="589"/>
      <c r="P4" s="1755">
        <f>'Sbt(a)'!O4</f>
        <v>2022</v>
      </c>
      <c r="Q4" s="2503"/>
      <c r="U4" s="87"/>
      <c r="V4" s="87"/>
      <c r="W4" s="88"/>
      <c r="X4" s="3"/>
      <c r="Y4" s="3"/>
      <c r="Z4" s="89"/>
      <c r="AA4" s="89"/>
      <c r="AB4" s="89"/>
    </row>
    <row r="5" spans="1:28" ht="10.5" customHeight="1" thickBot="1" x14ac:dyDescent="0.25">
      <c r="A5" s="2503"/>
      <c r="C5" s="4"/>
      <c r="D5" s="4"/>
      <c r="E5" s="17"/>
      <c r="F5" s="17"/>
      <c r="G5" s="90"/>
      <c r="H5" s="90"/>
      <c r="I5" s="4"/>
      <c r="J5" s="4"/>
      <c r="K5" s="1756"/>
      <c r="L5" s="1756"/>
      <c r="M5" s="1193"/>
      <c r="N5" s="1193"/>
      <c r="O5" s="1193"/>
      <c r="P5" s="1193"/>
      <c r="Q5" s="2503"/>
      <c r="U5" s="87"/>
      <c r="V5" s="87"/>
      <c r="W5" s="88"/>
      <c r="X5" s="3"/>
      <c r="Y5" s="3"/>
      <c r="Z5" s="89"/>
      <c r="AA5" s="89"/>
      <c r="AB5" s="89"/>
    </row>
    <row r="6" spans="1:28" s="1" customFormat="1" ht="24.6" customHeight="1" x14ac:dyDescent="0.2">
      <c r="A6" s="2503"/>
      <c r="C6" s="1728">
        <v>1</v>
      </c>
      <c r="D6" s="1431" t="s">
        <v>1073</v>
      </c>
      <c r="E6" s="1431"/>
      <c r="F6" s="1431"/>
      <c r="G6" s="1431"/>
      <c r="H6" s="1431"/>
      <c r="I6" s="1432"/>
      <c r="J6" s="1433"/>
      <c r="K6" s="3954" t="s">
        <v>1074</v>
      </c>
      <c r="L6" s="3955"/>
      <c r="M6" s="3958" t="s">
        <v>1075</v>
      </c>
      <c r="N6" s="3959"/>
      <c r="O6" s="3960" t="s">
        <v>1076</v>
      </c>
      <c r="P6" s="3955"/>
      <c r="Q6" s="2503"/>
    </row>
    <row r="7" spans="1:28" s="1" customFormat="1" ht="25.15" customHeight="1" thickBot="1" x14ac:dyDescent="0.25">
      <c r="A7" s="2503"/>
      <c r="C7" s="1845">
        <v>2</v>
      </c>
      <c r="D7" s="1846" t="s">
        <v>1077</v>
      </c>
      <c r="E7" s="1846"/>
      <c r="F7" s="1846"/>
      <c r="G7" s="1846"/>
      <c r="H7" s="1846"/>
      <c r="I7" s="1847" t="s">
        <v>1132</v>
      </c>
      <c r="J7" s="1848"/>
      <c r="K7" s="3961">
        <f>'Sbt(a)'!J7</f>
        <v>7500</v>
      </c>
      <c r="L7" s="3962"/>
      <c r="M7" s="3963">
        <f>'Sbt(a)'!L7</f>
        <v>8500</v>
      </c>
      <c r="N7" s="3964"/>
      <c r="O7" s="3965">
        <f>'Sbt(a)'!N7</f>
        <v>9500</v>
      </c>
      <c r="P7" s="3962"/>
      <c r="Q7" s="2503"/>
      <c r="T7" s="435"/>
      <c r="U7" s="435"/>
      <c r="V7" s="435"/>
      <c r="W7" s="435"/>
      <c r="X7" s="435"/>
      <c r="Y7" s="435"/>
      <c r="Z7" s="435"/>
      <c r="AA7" s="435"/>
    </row>
    <row r="8" spans="1:28" s="1" customFormat="1" ht="24" customHeight="1" x14ac:dyDescent="0.2">
      <c r="A8" s="2503"/>
      <c r="C8" s="1843">
        <v>3</v>
      </c>
      <c r="D8" s="1844" t="str">
        <f>IF(Stammdaten!S7=1,"Preis Hauptprodukt (ohne Mwst.)","Preis Hauptprodukt  (incl. Mwst.)")</f>
        <v>Preis Hauptprodukt  (incl. Mwst.)</v>
      </c>
      <c r="E8" s="1844"/>
      <c r="F8" s="1844"/>
      <c r="G8" s="1844"/>
      <c r="H8" s="1844"/>
      <c r="I8" s="1745" t="s">
        <v>58</v>
      </c>
      <c r="J8" s="1444"/>
      <c r="K8" s="3956">
        <f>'Sbt(a)'!K13</f>
        <v>0.45004499999999997</v>
      </c>
      <c r="L8" s="3957"/>
      <c r="M8" s="3976">
        <f>'Sbt(a)'!M13</f>
        <v>0.45004499999999997</v>
      </c>
      <c r="N8" s="3977"/>
      <c r="O8" s="3978">
        <f>'Sbt(a)'!O13</f>
        <v>0.45004499999999997</v>
      </c>
      <c r="P8" s="3957"/>
      <c r="Q8" s="2503"/>
      <c r="T8" s="435"/>
      <c r="U8" s="435"/>
      <c r="V8" s="435"/>
      <c r="W8" s="435"/>
      <c r="X8" s="435"/>
      <c r="Y8" s="435"/>
      <c r="Z8" s="435"/>
      <c r="AA8" s="435"/>
    </row>
    <row r="9" spans="1:28" s="1" customFormat="1" ht="20.45" customHeight="1" x14ac:dyDescent="0.2">
      <c r="A9" s="2503"/>
      <c r="C9" s="1729"/>
      <c r="D9" s="13"/>
      <c r="E9" s="13"/>
      <c r="F9" s="13"/>
      <c r="G9" s="13"/>
      <c r="H9" s="13"/>
      <c r="I9" s="720"/>
      <c r="J9" s="1436"/>
      <c r="K9" s="1757" t="s">
        <v>781</v>
      </c>
      <c r="L9" s="1849" t="s">
        <v>782</v>
      </c>
      <c r="M9" s="1853" t="s">
        <v>781</v>
      </c>
      <c r="N9" s="1854" t="s">
        <v>782</v>
      </c>
      <c r="O9" s="1841" t="s">
        <v>781</v>
      </c>
      <c r="P9" s="1842" t="s">
        <v>782</v>
      </c>
      <c r="Q9" s="2503"/>
      <c r="T9" s="435"/>
      <c r="U9" s="435"/>
      <c r="V9" s="435"/>
      <c r="W9" s="435"/>
      <c r="X9" s="435"/>
      <c r="Y9" s="435"/>
      <c r="Z9" s="435"/>
      <c r="AA9" s="435"/>
    </row>
    <row r="10" spans="1:28" s="30" customFormat="1" ht="20.45" customHeight="1" x14ac:dyDescent="0.2">
      <c r="A10" s="2503"/>
      <c r="B10" s="3966" t="s">
        <v>473</v>
      </c>
      <c r="C10" s="1729">
        <v>4</v>
      </c>
      <c r="D10" s="69" t="s">
        <v>59</v>
      </c>
      <c r="E10" s="2" t="s">
        <v>1078</v>
      </c>
      <c r="F10" s="2"/>
      <c r="G10" s="2" t="s">
        <v>60</v>
      </c>
      <c r="H10" s="2"/>
      <c r="I10" s="720"/>
      <c r="J10" s="1436"/>
      <c r="K10" s="1791">
        <f>K7*K8</f>
        <v>3375.3374999999996</v>
      </c>
      <c r="L10" s="1819">
        <f>K10/K7</f>
        <v>0.45004499999999997</v>
      </c>
      <c r="M10" s="1796">
        <f>M7*M8</f>
        <v>3825.3824999999997</v>
      </c>
      <c r="N10" s="1825">
        <f>M10/M7</f>
        <v>0.45004499999999997</v>
      </c>
      <c r="O10" s="1807">
        <f>O7*O8</f>
        <v>4275.4274999999998</v>
      </c>
      <c r="P10" s="1819">
        <f>O10/O7</f>
        <v>0.45004499999999997</v>
      </c>
      <c r="Q10" s="2503"/>
      <c r="T10" s="435"/>
      <c r="U10" s="435"/>
      <c r="V10" s="435"/>
      <c r="W10" s="435"/>
      <c r="X10" s="435"/>
      <c r="Y10" s="435"/>
      <c r="Z10" s="435"/>
      <c r="AA10" s="435"/>
    </row>
    <row r="11" spans="1:28" s="1" customFormat="1" ht="20.45" customHeight="1" x14ac:dyDescent="0.2">
      <c r="A11" s="2503"/>
      <c r="B11" s="3967"/>
      <c r="C11" s="1729">
        <f>C10+1</f>
        <v>5</v>
      </c>
      <c r="D11" s="69"/>
      <c r="E11" s="2" t="s">
        <v>62</v>
      </c>
      <c r="F11" s="2"/>
      <c r="G11" s="2" t="s">
        <v>63</v>
      </c>
      <c r="H11" s="2"/>
      <c r="I11" s="720"/>
      <c r="J11" s="1436"/>
      <c r="K11" s="1791">
        <f>'Sbt(a)'!K15</f>
        <v>135.23249999999999</v>
      </c>
      <c r="L11" s="1816"/>
      <c r="M11" s="1796">
        <f>'Sbt(a)'!M15</f>
        <v>135.23249999999999</v>
      </c>
      <c r="N11" s="1855"/>
      <c r="O11" s="1807">
        <f>'Sbt(a)'!O15</f>
        <v>135.23249999999999</v>
      </c>
      <c r="P11" s="1816"/>
      <c r="Q11" s="2503"/>
      <c r="T11" s="435"/>
      <c r="U11" s="435"/>
      <c r="V11" s="435"/>
      <c r="W11" s="435"/>
      <c r="X11" s="435"/>
      <c r="Y11" s="435"/>
      <c r="Z11" s="435"/>
      <c r="AA11" s="435"/>
    </row>
    <row r="12" spans="1:28" s="1" customFormat="1" ht="20.45" customHeight="1" x14ac:dyDescent="0.2">
      <c r="A12" s="2503"/>
      <c r="B12" s="3967"/>
      <c r="C12" s="1729">
        <f>C11+1</f>
        <v>6</v>
      </c>
      <c r="D12" s="69"/>
      <c r="E12" s="2"/>
      <c r="F12" s="2"/>
      <c r="G12" s="2" t="s">
        <v>1150</v>
      </c>
      <c r="H12" s="2"/>
      <c r="I12" s="720"/>
      <c r="J12" s="1436"/>
      <c r="K12" s="1791">
        <f>'Sbt(a)'!K18</f>
        <v>436.1896000000001</v>
      </c>
      <c r="L12" s="1815"/>
      <c r="M12" s="1796">
        <f>'Sbt(a)'!M18</f>
        <v>436.1896000000001</v>
      </c>
      <c r="N12" s="1824"/>
      <c r="O12" s="1807">
        <f>'Sbt(a)'!O18</f>
        <v>436.1896000000001</v>
      </c>
      <c r="P12" s="1815"/>
      <c r="Q12" s="2503"/>
      <c r="T12" s="435"/>
      <c r="U12" s="435"/>
      <c r="V12" s="435"/>
      <c r="W12" s="435"/>
      <c r="X12" s="435"/>
      <c r="Y12" s="435"/>
      <c r="Z12" s="435"/>
      <c r="AA12" s="435"/>
    </row>
    <row r="13" spans="1:28" s="1" customFormat="1" ht="20.45" customHeight="1" x14ac:dyDescent="0.2">
      <c r="A13" s="2503"/>
      <c r="B13" s="3967"/>
      <c r="C13" s="1729">
        <f>C12+1</f>
        <v>7</v>
      </c>
      <c r="D13" s="10"/>
      <c r="E13" s="3"/>
      <c r="F13" s="3"/>
      <c r="G13" s="10" t="s">
        <v>1084</v>
      </c>
      <c r="H13" s="10"/>
      <c r="I13" s="1740"/>
      <c r="J13" s="1437"/>
      <c r="K13" s="1791">
        <f>'Sbt(a)'!K22</f>
        <v>320.74863333333332</v>
      </c>
      <c r="L13" s="1815"/>
      <c r="M13" s="1796">
        <f>'Sbt(a)'!M22</f>
        <v>328.03837499999997</v>
      </c>
      <c r="N13" s="1824"/>
      <c r="O13" s="1807">
        <f>'Sbt(a)'!O22</f>
        <v>335.32811666666663</v>
      </c>
      <c r="P13" s="1815"/>
      <c r="Q13" s="2503"/>
      <c r="T13" s="435"/>
      <c r="U13" s="435"/>
      <c r="V13" s="435"/>
      <c r="W13" s="435"/>
      <c r="X13" s="435"/>
      <c r="Y13" s="435"/>
      <c r="Z13" s="435"/>
      <c r="AA13" s="435"/>
    </row>
    <row r="14" spans="1:28" s="1" customFormat="1" ht="20.45" customHeight="1" x14ac:dyDescent="0.2">
      <c r="A14" s="2503"/>
      <c r="B14" s="3968"/>
      <c r="C14" s="1729">
        <f>C13+1</f>
        <v>8</v>
      </c>
      <c r="D14" s="13" t="s">
        <v>103</v>
      </c>
      <c r="E14" s="3"/>
      <c r="F14" s="3"/>
      <c r="G14" s="10"/>
      <c r="H14" s="10"/>
      <c r="I14" s="1740"/>
      <c r="J14" s="1437"/>
      <c r="K14" s="1806">
        <f>SUM(K10:K13)</f>
        <v>4267.508233333333</v>
      </c>
      <c r="L14" s="1819">
        <f>K14/K7</f>
        <v>0.56900109777777774</v>
      </c>
      <c r="M14" s="1805">
        <f>SUM(M10:M13)</f>
        <v>4724.8429749999996</v>
      </c>
      <c r="N14" s="1825">
        <f>M14/M7</f>
        <v>0.55586387941176463</v>
      </c>
      <c r="O14" s="1808">
        <f>SUM(O10:O13)</f>
        <v>5182.1777166666661</v>
      </c>
      <c r="P14" s="1819">
        <f>O14/O7</f>
        <v>0.54549239122807014</v>
      </c>
      <c r="Q14" s="2503"/>
      <c r="T14" s="435"/>
      <c r="U14" s="435"/>
      <c r="V14" s="435"/>
      <c r="W14" s="435"/>
      <c r="X14" s="435"/>
      <c r="Y14" s="435"/>
      <c r="Z14" s="435"/>
      <c r="AA14" s="435"/>
    </row>
    <row r="15" spans="1:28" ht="6" customHeight="1" x14ac:dyDescent="0.2">
      <c r="A15" s="2503"/>
      <c r="B15" s="1798"/>
      <c r="C15" s="1729"/>
      <c r="D15" s="13"/>
      <c r="E15" s="13"/>
      <c r="F15" s="13"/>
      <c r="G15" s="13"/>
      <c r="H15" s="13"/>
      <c r="I15" s="720"/>
      <c r="J15" s="1436"/>
      <c r="K15" s="1762"/>
      <c r="L15" s="1822"/>
      <c r="M15" s="1857"/>
      <c r="N15" s="1829"/>
      <c r="O15" s="1763"/>
      <c r="P15" s="1820"/>
      <c r="Q15" s="2503"/>
      <c r="T15" s="435"/>
      <c r="U15" s="435"/>
      <c r="V15" s="435"/>
      <c r="W15" s="435"/>
      <c r="X15" s="435"/>
      <c r="Y15" s="435"/>
      <c r="Z15" s="435"/>
      <c r="AA15" s="435"/>
    </row>
    <row r="16" spans="1:28" ht="8.4499999999999993" customHeight="1" x14ac:dyDescent="0.2">
      <c r="A16" s="2503"/>
      <c r="B16" s="1798"/>
      <c r="C16" s="1730"/>
      <c r="D16" s="18"/>
      <c r="E16" s="259"/>
      <c r="F16" s="9"/>
      <c r="G16" s="9"/>
      <c r="H16" s="9"/>
      <c r="I16" s="1558"/>
      <c r="J16" s="1434"/>
      <c r="K16" s="1802"/>
      <c r="L16" s="1850"/>
      <c r="M16" s="1858"/>
      <c r="N16" s="1859"/>
      <c r="O16" s="1622"/>
      <c r="P16" s="1821"/>
      <c r="Q16" s="2503"/>
      <c r="T16" s="435"/>
      <c r="U16" s="435"/>
      <c r="V16" s="435"/>
      <c r="W16" s="435"/>
      <c r="X16" s="435"/>
      <c r="Y16" s="435"/>
      <c r="Z16" s="435"/>
      <c r="AA16" s="435"/>
    </row>
    <row r="17" spans="1:29" ht="20.45" customHeight="1" x14ac:dyDescent="0.2">
      <c r="A17" s="2503"/>
      <c r="B17" s="3973" t="s">
        <v>474</v>
      </c>
      <c r="C17" s="1731">
        <v>9</v>
      </c>
      <c r="E17" s="435" t="s">
        <v>1086</v>
      </c>
      <c r="F17" s="11"/>
      <c r="G17" s="11"/>
      <c r="H17" s="11"/>
      <c r="I17" s="720"/>
      <c r="J17" s="1436"/>
      <c r="K17" s="1791">
        <f>'Sbt(a)'!K26</f>
        <v>657</v>
      </c>
      <c r="L17" s="1815"/>
      <c r="M17" s="1796">
        <f>'Sbt(a)'!M26</f>
        <v>657</v>
      </c>
      <c r="N17" s="1824"/>
      <c r="O17" s="1807">
        <f>'Sbt(a)'!O26</f>
        <v>657</v>
      </c>
      <c r="P17" s="1815"/>
      <c r="Q17" s="2503"/>
      <c r="T17" s="435"/>
      <c r="U17" s="435"/>
      <c r="V17" s="435"/>
      <c r="W17" s="435"/>
      <c r="X17" s="435"/>
      <c r="Y17" s="435"/>
      <c r="Z17" s="435"/>
      <c r="AA17" s="435"/>
    </row>
    <row r="18" spans="1:29" ht="20.45" customHeight="1" x14ac:dyDescent="0.2">
      <c r="A18" s="2503"/>
      <c r="B18" s="3974"/>
      <c r="C18" s="1732">
        <f t="shared" ref="C18:C23" si="0">C17+1</f>
        <v>10</v>
      </c>
      <c r="E18" s="11" t="s">
        <v>64</v>
      </c>
      <c r="F18" s="11"/>
      <c r="G18" s="10"/>
      <c r="H18" s="10"/>
      <c r="I18" s="1741"/>
      <c r="J18" s="1439"/>
      <c r="K18" s="1791">
        <f>'Sbt(a)'!K28</f>
        <v>855.68350000000009</v>
      </c>
      <c r="L18" s="1815"/>
      <c r="M18" s="1796">
        <f>'Sbt(a)'!M28</f>
        <v>904.91600000000017</v>
      </c>
      <c r="N18" s="1824"/>
      <c r="O18" s="1807">
        <f>'Sbt(a)'!O28</f>
        <v>954.14850000000013</v>
      </c>
      <c r="P18" s="1815"/>
      <c r="Q18" s="2503"/>
      <c r="T18" s="435"/>
      <c r="U18" s="435"/>
      <c r="V18" s="435"/>
      <c r="W18" s="435"/>
      <c r="X18" s="435"/>
      <c r="Y18" s="435"/>
      <c r="Z18" s="435"/>
      <c r="AA18" s="435"/>
    </row>
    <row r="19" spans="1:29" ht="20.45" customHeight="1" x14ac:dyDescent="0.2">
      <c r="A19" s="2503"/>
      <c r="B19" s="3974"/>
      <c r="C19" s="1732">
        <f t="shared" si="0"/>
        <v>11</v>
      </c>
      <c r="E19" s="11" t="s">
        <v>91</v>
      </c>
      <c r="F19" s="11"/>
      <c r="G19" s="11"/>
      <c r="H19" s="11"/>
      <c r="I19" s="722"/>
      <c r="J19" s="1440"/>
      <c r="K19" s="1791">
        <f>'Sbt(a)'!J36+'Sbt(a)'!J36*Stammdaten!$P$11</f>
        <v>129.91999999999999</v>
      </c>
      <c r="L19" s="1815"/>
      <c r="M19" s="1796">
        <f>'Sbt(a)'!L36+'Sbt(a)'!L36*Stammdaten!$P$11</f>
        <v>141.12</v>
      </c>
      <c r="N19" s="1824"/>
      <c r="O19" s="1807">
        <f>'Sbt(a)'!N36+'Sbt(a)'!N36*Stammdaten!$P$11</f>
        <v>1276.8</v>
      </c>
      <c r="P19" s="1815"/>
      <c r="Q19" s="2503"/>
      <c r="T19" s="435"/>
      <c r="U19" s="435"/>
      <c r="V19" s="435"/>
      <c r="W19" s="435"/>
      <c r="X19" s="435"/>
      <c r="Y19" s="435"/>
      <c r="Z19" s="435"/>
      <c r="AA19" s="435"/>
    </row>
    <row r="20" spans="1:29" ht="20.45" customHeight="1" x14ac:dyDescent="0.2">
      <c r="A20" s="2503"/>
      <c r="B20" s="3974"/>
      <c r="C20" s="1732">
        <f t="shared" si="0"/>
        <v>12</v>
      </c>
      <c r="E20" s="11" t="s">
        <v>1088</v>
      </c>
      <c r="F20" s="11"/>
      <c r="G20" s="11"/>
      <c r="H20" s="11"/>
      <c r="I20" s="722"/>
      <c r="J20" s="1440"/>
      <c r="K20" s="1791">
        <f>'Sbt(a)'!J37+'Sbt(a)'!J37*Stammdaten!$P$11</f>
        <v>35.840000000000003</v>
      </c>
      <c r="L20" s="1815"/>
      <c r="M20" s="1796">
        <f>'Sbt(a)'!L37+'Sbt(a)'!L37*Stammdaten!$P$11</f>
        <v>35.840000000000003</v>
      </c>
      <c r="N20" s="1824"/>
      <c r="O20" s="1807">
        <f>'Sbt(a)'!N37+'Sbt(a)'!N37*Stammdaten!$P$11</f>
        <v>38.08</v>
      </c>
      <c r="P20" s="1815"/>
      <c r="Q20" s="2503"/>
      <c r="T20" s="435"/>
      <c r="U20" s="435"/>
      <c r="V20" s="435"/>
      <c r="W20" s="435"/>
      <c r="X20" s="435"/>
      <c r="Y20" s="435"/>
      <c r="Z20" s="435"/>
      <c r="AA20" s="435"/>
    </row>
    <row r="21" spans="1:29" ht="20.45" customHeight="1" x14ac:dyDescent="0.2">
      <c r="A21" s="2503"/>
      <c r="B21" s="3974"/>
      <c r="C21" s="1732">
        <f t="shared" si="0"/>
        <v>13</v>
      </c>
      <c r="E21" s="11" t="s">
        <v>67</v>
      </c>
      <c r="F21" s="11"/>
      <c r="I21" s="722"/>
      <c r="J21" s="1440"/>
      <c r="K21" s="1791">
        <f>('Sbt(a)'!J38+'Sbt(a)'!J39+'Sbt(a)'!J40+'Sbt(a)'!J41+'Sbt(a)'!J44)+(('Sbt(a)'!J38+'Sbt(a)'!J39+'Sbt(a)'!J40+'Sbt(a)'!J41+'Sbt(a)'!J44)*Stammdaten!$P$11)</f>
        <v>264.40734288333334</v>
      </c>
      <c r="L21" s="1815"/>
      <c r="M21" s="1796">
        <f>('Sbt(a)'!L38+'Sbt(a)'!L39+'Sbt(a)'!L40+'Sbt(a)'!L41+'Sbt(a)'!L44)+(('Sbt(a)'!L38+'Sbt(a)'!L39+'Sbt(a)'!L40+'Sbt(a)'!L41+'Sbt(a)'!L44)*Stammdaten!$P$11)</f>
        <v>284.43464248333333</v>
      </c>
      <c r="N21" s="1824"/>
      <c r="O21" s="1807">
        <f>('Sbt(a)'!N38+'Sbt(a)'!N39+'Sbt(a)'!N40+'Sbt(a)'!N41+'Sbt(a)'!N44)+('Sbt(a)'!N38+'Sbt(a)'!N39+'Sbt(a)'!N40+'Sbt(a)'!N41+'Sbt(a)'!N44)*Stammdaten!$P$11</f>
        <v>303.34194208333338</v>
      </c>
      <c r="P21" s="1815"/>
      <c r="Q21" s="2503"/>
      <c r="T21" s="435"/>
      <c r="U21" s="435"/>
      <c r="V21" s="435"/>
      <c r="W21" s="435"/>
      <c r="X21" s="435"/>
      <c r="Y21" s="435"/>
      <c r="Z21" s="435"/>
      <c r="AA21" s="435"/>
    </row>
    <row r="22" spans="1:29" ht="20.45" customHeight="1" x14ac:dyDescent="0.2">
      <c r="A22" s="2503"/>
      <c r="B22" s="3974"/>
      <c r="C22" s="1732">
        <f t="shared" si="0"/>
        <v>14</v>
      </c>
      <c r="E22" s="11" t="s">
        <v>66</v>
      </c>
      <c r="F22" s="11"/>
      <c r="G22" s="11"/>
      <c r="H22" s="11"/>
      <c r="I22" s="722"/>
      <c r="J22" s="1440"/>
      <c r="K22" s="1791">
        <f>('Sbt(a)'!J42+'Sbt(a)'!J42*Stammdaten!$P$11)+('Sbt(a)'!J43+'Sbt(a)'!J43*Stammdaten!$P$11)</f>
        <v>181.49042699999998</v>
      </c>
      <c r="L22" s="1815"/>
      <c r="M22" s="1796">
        <f>('Sbt(a)'!L42+'Sbt(a)'!L42*Stammdaten!$P$11)+('Sbt(a)'!L43+'Sbt(a)'!L43*Stammdaten!$P$11)</f>
        <v>189.93070700000001</v>
      </c>
      <c r="N22" s="1824"/>
      <c r="O22" s="1807">
        <f>('Sbt(a)'!N42+'Sbt(a)'!N42*Stammdaten!$P$11)+('Sbt(a)'!N43+'Sbt(a)'!N43*Stammdaten!$P$11)</f>
        <v>199.37098700000001</v>
      </c>
      <c r="P22" s="1815"/>
      <c r="Q22" s="2503"/>
      <c r="T22" s="435"/>
      <c r="U22" s="435"/>
      <c r="V22" s="435"/>
      <c r="W22" s="435"/>
      <c r="X22" s="435"/>
      <c r="Y22" s="435"/>
      <c r="Z22" s="435"/>
      <c r="AA22" s="435"/>
    </row>
    <row r="23" spans="1:29" ht="20.45" customHeight="1" x14ac:dyDescent="0.2">
      <c r="A23" s="2503"/>
      <c r="B23" s="3975"/>
      <c r="C23" s="1732">
        <f t="shared" si="0"/>
        <v>15</v>
      </c>
      <c r="D23" s="5" t="s">
        <v>105</v>
      </c>
      <c r="E23" s="5"/>
      <c r="F23" s="5"/>
      <c r="G23" s="5"/>
      <c r="H23" s="5"/>
      <c r="I23" s="720"/>
      <c r="J23" s="1436"/>
      <c r="K23" s="1806">
        <f>SUM(K17:K22)</f>
        <v>2124.3412698833336</v>
      </c>
      <c r="L23" s="1819">
        <f>K23/K7</f>
        <v>0.28324550265111115</v>
      </c>
      <c r="M23" s="1805">
        <f>SUM(M17:M22)</f>
        <v>2213.2413494833336</v>
      </c>
      <c r="N23" s="1825">
        <f>M23/M7</f>
        <v>0.26038133523333334</v>
      </c>
      <c r="O23" s="1808">
        <f>SUM(O17:O22)</f>
        <v>3428.741429083334</v>
      </c>
      <c r="P23" s="1819">
        <f>O23/O7</f>
        <v>0.36092015042982462</v>
      </c>
      <c r="Q23" s="2503"/>
      <c r="T23" s="435"/>
      <c r="V23" s="435"/>
      <c r="W23" s="435"/>
      <c r="X23" s="435"/>
      <c r="Y23" s="435"/>
      <c r="Z23" s="2672"/>
      <c r="AA23" s="435"/>
    </row>
    <row r="24" spans="1:29" ht="9.75" customHeight="1" x14ac:dyDescent="0.2">
      <c r="A24" s="2503"/>
      <c r="B24" s="1798"/>
      <c r="C24" s="1731"/>
      <c r="D24" s="70"/>
      <c r="E24" s="70"/>
      <c r="F24" s="70"/>
      <c r="G24" s="70"/>
      <c r="H24" s="70"/>
      <c r="I24" s="720"/>
      <c r="J24" s="1436"/>
      <c r="K24" s="1794"/>
      <c r="L24" s="1822"/>
      <c r="M24" s="1860"/>
      <c r="N24" s="1829"/>
      <c r="O24" s="1809"/>
      <c r="P24" s="1822"/>
      <c r="Q24" s="2503"/>
      <c r="T24" s="435"/>
      <c r="V24" s="435"/>
      <c r="W24" s="435"/>
      <c r="X24" s="435"/>
      <c r="Y24" s="435"/>
      <c r="Z24" s="2672"/>
      <c r="AA24" s="435"/>
    </row>
    <row r="25" spans="1:29" ht="11.25" customHeight="1" x14ac:dyDescent="0.2">
      <c r="A25" s="2503"/>
      <c r="B25" s="1798"/>
      <c r="C25" s="1730"/>
      <c r="D25" s="437"/>
      <c r="E25" s="437"/>
      <c r="F25" s="437"/>
      <c r="G25" s="437"/>
      <c r="H25" s="437"/>
      <c r="I25" s="1743"/>
      <c r="J25" s="1442"/>
      <c r="K25" s="1791"/>
      <c r="L25" s="1851"/>
      <c r="M25" s="1796"/>
      <c r="N25" s="1861"/>
      <c r="O25" s="1807"/>
      <c r="P25" s="1823"/>
      <c r="Q25" s="2503"/>
      <c r="T25" s="435"/>
      <c r="V25" s="435"/>
      <c r="W25" s="435"/>
      <c r="X25" s="435"/>
      <c r="Y25" s="435"/>
      <c r="Z25" s="2672"/>
      <c r="AA25" s="435"/>
    </row>
    <row r="26" spans="1:29" ht="27.75" customHeight="1" x14ac:dyDescent="0.2">
      <c r="A26" s="2503"/>
      <c r="B26" s="3969" t="s">
        <v>725</v>
      </c>
      <c r="C26" s="2101">
        <v>16</v>
      </c>
      <c r="D26" s="2102" t="s">
        <v>1100</v>
      </c>
      <c r="E26" s="2108"/>
      <c r="F26" s="2108"/>
      <c r="G26" s="2108"/>
      <c r="H26" s="2109"/>
      <c r="I26" s="2110"/>
      <c r="J26" s="2111"/>
      <c r="K26" s="2112">
        <f>K14-K23</f>
        <v>2143.1669634499995</v>
      </c>
      <c r="L26" s="1854">
        <f>K26/K7</f>
        <v>0.2857555951266666</v>
      </c>
      <c r="M26" s="2112">
        <f>M14-M23</f>
        <v>2511.601625516666</v>
      </c>
      <c r="N26" s="1854">
        <f>M26/M7</f>
        <v>0.29548254417843128</v>
      </c>
      <c r="O26" s="1863">
        <f>O14-O23</f>
        <v>1753.4362875833322</v>
      </c>
      <c r="P26" s="2113">
        <f>O26/O7</f>
        <v>0.1845722407982455</v>
      </c>
      <c r="Q26" s="2503"/>
      <c r="T26" s="435"/>
      <c r="V26" s="435"/>
      <c r="W26" s="435"/>
      <c r="X26" s="435"/>
      <c r="Y26" s="435"/>
      <c r="Z26" s="2672"/>
      <c r="AA26" s="435"/>
    </row>
    <row r="27" spans="1:29" ht="21.2" customHeight="1" x14ac:dyDescent="0.2">
      <c r="A27" s="2503"/>
      <c r="B27" s="3970"/>
      <c r="C27" s="1729">
        <f>C26+1</f>
        <v>17</v>
      </c>
      <c r="E27" s="2" t="s">
        <v>1497</v>
      </c>
      <c r="F27" s="2"/>
      <c r="G27" s="2"/>
      <c r="H27" s="2"/>
      <c r="I27" s="720"/>
      <c r="J27" s="1436"/>
      <c r="K27" s="1791">
        <f>'Sbt(a)'!K25</f>
        <v>0</v>
      </c>
      <c r="L27" s="1817"/>
      <c r="M27" s="1796">
        <f>'Sbt(a)'!M25</f>
        <v>0</v>
      </c>
      <c r="N27" s="1856"/>
      <c r="O27" s="1807">
        <f>'Sbt(a)'!O25</f>
        <v>0</v>
      </c>
      <c r="P27" s="1817"/>
      <c r="Q27" s="2503"/>
      <c r="T27" s="435"/>
      <c r="V27" s="435"/>
      <c r="W27" s="435"/>
      <c r="X27" s="435"/>
      <c r="Y27" s="435"/>
      <c r="Z27" s="2672"/>
      <c r="AA27" s="435"/>
    </row>
    <row r="28" spans="1:29" ht="21.2" customHeight="1" thickBot="1" x14ac:dyDescent="0.25">
      <c r="A28" s="2503"/>
      <c r="B28" s="3970"/>
      <c r="C28" s="1732">
        <f>C27+1</f>
        <v>18</v>
      </c>
      <c r="E28" s="11" t="s">
        <v>779</v>
      </c>
      <c r="F28" s="11"/>
      <c r="G28" s="11"/>
      <c r="H28" s="11"/>
      <c r="I28" s="1742"/>
      <c r="J28" s="1441"/>
      <c r="K28" s="1791">
        <f>'Sbt(a)'!K45</f>
        <v>39.379266000000001</v>
      </c>
      <c r="L28" s="1815"/>
      <c r="M28" s="1796">
        <f>'Sbt(a)'!M45</f>
        <v>39.379266000000001</v>
      </c>
      <c r="N28" s="1824"/>
      <c r="O28" s="1807">
        <f>'Sbt(a)'!O45</f>
        <v>39.379266000000001</v>
      </c>
      <c r="P28" s="1815"/>
      <c r="Q28" s="2503"/>
      <c r="T28" s="435"/>
      <c r="V28" s="435"/>
      <c r="W28" s="435"/>
      <c r="X28" s="435"/>
      <c r="Y28" s="435"/>
      <c r="Z28" s="2672"/>
      <c r="AA28" s="435"/>
    </row>
    <row r="29" spans="1:29" ht="24" customHeight="1" x14ac:dyDescent="0.2">
      <c r="A29" s="2503"/>
      <c r="B29" s="3971"/>
      <c r="C29" s="2091">
        <f>C28+1</f>
        <v>19</v>
      </c>
      <c r="D29" s="2092" t="s">
        <v>1102</v>
      </c>
      <c r="E29" s="2092"/>
      <c r="F29" s="2092"/>
      <c r="G29" s="2092"/>
      <c r="H29" s="2092"/>
      <c r="I29" s="2093"/>
      <c r="J29" s="1497"/>
      <c r="K29" s="2094">
        <f>K26+K27-K28</f>
        <v>2103.7876974499995</v>
      </c>
      <c r="L29" s="2095">
        <f>K29/K7</f>
        <v>0.28050502632666663</v>
      </c>
      <c r="M29" s="2094">
        <f>M26+M27-M28</f>
        <v>2472.2223595166661</v>
      </c>
      <c r="N29" s="2095">
        <f>M29/M7</f>
        <v>0.29084968935490191</v>
      </c>
      <c r="O29" s="2096">
        <f>O26+O27-O28</f>
        <v>1714.0570215833322</v>
      </c>
      <c r="P29" s="2095">
        <f>O29/O7</f>
        <v>0.18042705490350866</v>
      </c>
      <c r="Q29" s="2503"/>
      <c r="T29" s="435"/>
      <c r="V29" s="435"/>
      <c r="W29" s="435"/>
      <c r="X29" s="3954" t="s">
        <v>1074</v>
      </c>
      <c r="Y29" s="3955"/>
      <c r="Z29" s="3958" t="s">
        <v>1075</v>
      </c>
      <c r="AA29" s="3959"/>
      <c r="AB29" s="3960" t="s">
        <v>1076</v>
      </c>
      <c r="AC29" s="3955"/>
    </row>
    <row r="30" spans="1:29" ht="6.75" customHeight="1" x14ac:dyDescent="0.2">
      <c r="A30" s="2503"/>
      <c r="B30" s="3972"/>
      <c r="C30" s="2098"/>
      <c r="D30" s="1737"/>
      <c r="E30" s="1737"/>
      <c r="F30" s="1737"/>
      <c r="G30" s="1737"/>
      <c r="H30" s="1737"/>
      <c r="I30" s="1747"/>
      <c r="J30" s="1448"/>
      <c r="K30" s="1852"/>
      <c r="L30" s="1826"/>
      <c r="M30" s="1852"/>
      <c r="N30" s="1826"/>
      <c r="O30" s="1764"/>
      <c r="P30" s="1764"/>
      <c r="Q30" s="2503"/>
      <c r="T30" s="435"/>
      <c r="V30" s="435"/>
      <c r="W30" s="435"/>
      <c r="X30" s="435"/>
      <c r="Y30" s="435"/>
      <c r="Z30" s="2672"/>
      <c r="AA30" s="435"/>
    </row>
    <row r="31" spans="1:29" ht="24.75" customHeight="1" x14ac:dyDescent="0.2">
      <c r="A31" s="2503"/>
      <c r="B31" s="2090"/>
      <c r="C31" s="1862">
        <v>20</v>
      </c>
      <c r="D31" s="20"/>
      <c r="E31" s="27" t="s">
        <v>137</v>
      </c>
      <c r="F31" s="27"/>
      <c r="G31" s="12"/>
      <c r="H31" s="12"/>
      <c r="I31" s="1745"/>
      <c r="J31" s="1444"/>
      <c r="K31" s="1794">
        <f>'Sbt(a)'!K47</f>
        <v>1136.0518168999999</v>
      </c>
      <c r="L31" s="1838">
        <f>K31/K$7</f>
        <v>0.15147357558666666</v>
      </c>
      <c r="M31" s="1860">
        <f>'Sbt(a)'!M47</f>
        <v>1226.1379845000004</v>
      </c>
      <c r="N31" s="1874">
        <f>M31/M$7</f>
        <v>0.14425152758823534</v>
      </c>
      <c r="O31" s="1809">
        <f>'Sbt(a)'!O47</f>
        <v>1311.5914801000004</v>
      </c>
      <c r="P31" s="1838">
        <f>O31/O$7</f>
        <v>0.13806226106315794</v>
      </c>
      <c r="Q31" s="2503"/>
      <c r="T31" s="435"/>
      <c r="V31" s="435"/>
      <c r="W31" s="435"/>
      <c r="X31" s="435"/>
      <c r="Y31" s="435"/>
      <c r="Z31" s="2672"/>
      <c r="AA31" s="435"/>
    </row>
    <row r="32" spans="1:29" ht="24.75" customHeight="1" x14ac:dyDescent="0.2">
      <c r="A32" s="2503"/>
      <c r="B32" s="2090"/>
      <c r="C32" s="2091">
        <f>C31+1</f>
        <v>21</v>
      </c>
      <c r="D32" s="2092" t="s">
        <v>1188</v>
      </c>
      <c r="E32" s="2092"/>
      <c r="F32" s="2092"/>
      <c r="G32" s="2092"/>
      <c r="H32" s="2092"/>
      <c r="I32" s="2093"/>
      <c r="J32" s="1497"/>
      <c r="K32" s="2094">
        <f>K29-K31</f>
        <v>967.73588054999959</v>
      </c>
      <c r="L32" s="2095">
        <f>$K$32/$K$7</f>
        <v>0.12903145073999994</v>
      </c>
      <c r="M32" s="2094">
        <f>M29-M31</f>
        <v>1246.0843750166657</v>
      </c>
      <c r="N32" s="2095">
        <f>$M$32/$M$7</f>
        <v>0.14659816176666657</v>
      </c>
      <c r="O32" s="2096">
        <f>O29-O31</f>
        <v>402.46554148333189</v>
      </c>
      <c r="P32" s="2097">
        <f>$O$32/$O$7</f>
        <v>4.2364793840350724E-2</v>
      </c>
      <c r="Q32" s="2503"/>
      <c r="S32" s="435"/>
      <c r="T32" s="435"/>
      <c r="U32" s="435"/>
      <c r="V32" s="2674" t="s">
        <v>620</v>
      </c>
      <c r="W32" s="2674" t="s">
        <v>1079</v>
      </c>
      <c r="Y32" s="2523">
        <f>'Sbt(a)'!K52+'Sbt(a)'!K55+'Sbt(a)'!K58</f>
        <v>411.03382320000003</v>
      </c>
      <c r="AA32" s="2523">
        <f>'Sbt(a)'!M52+'Sbt(a)'!M55+'Sbt(a)'!M58</f>
        <v>455.87181475000011</v>
      </c>
      <c r="AC32" s="2523">
        <f>'Sbt(a)'!O52+'Sbt(a)'!O55+'Sbt(a)'!O58</f>
        <v>501.28889030000016</v>
      </c>
    </row>
    <row r="33" spans="1:29" ht="9" customHeight="1" x14ac:dyDescent="0.2">
      <c r="A33" s="2503"/>
      <c r="B33" s="1798"/>
      <c r="C33" s="2098"/>
      <c r="D33" s="1737"/>
      <c r="E33" s="1737"/>
      <c r="F33" s="1737"/>
      <c r="G33" s="1737"/>
      <c r="H33" s="1737"/>
      <c r="I33" s="1747"/>
      <c r="J33" s="1448"/>
      <c r="K33" s="1852"/>
      <c r="L33" s="1826"/>
      <c r="M33" s="1852"/>
      <c r="N33" s="1826"/>
      <c r="O33" s="1764"/>
      <c r="P33" s="1764"/>
      <c r="Q33" s="2503"/>
      <c r="S33" s="435"/>
      <c r="T33" s="435"/>
      <c r="U33" s="435"/>
      <c r="V33" s="2674"/>
      <c r="W33" s="2674"/>
      <c r="Y33" s="2523"/>
      <c r="AA33" s="2523"/>
      <c r="AC33" s="2523"/>
    </row>
    <row r="34" spans="1:29" ht="26.45" customHeight="1" x14ac:dyDescent="0.2">
      <c r="A34" s="2503"/>
      <c r="B34" s="3966" t="s">
        <v>92</v>
      </c>
      <c r="C34" s="1862">
        <v>22</v>
      </c>
      <c r="D34" s="83" t="s">
        <v>76</v>
      </c>
      <c r="E34" s="83"/>
      <c r="F34" s="83"/>
      <c r="G34" s="83"/>
      <c r="H34" s="83"/>
      <c r="I34" s="721" t="s">
        <v>534</v>
      </c>
      <c r="J34" s="97"/>
      <c r="K34" s="1835">
        <f>'Sbt(a)'!J60</f>
        <v>45</v>
      </c>
      <c r="L34" s="1865"/>
      <c r="M34" s="1863">
        <f>'Sbt(a)'!L60</f>
        <v>47</v>
      </c>
      <c r="N34" s="1870"/>
      <c r="O34" s="1812">
        <f>'Sbt(a)'!N60</f>
        <v>49</v>
      </c>
      <c r="P34" s="1827"/>
      <c r="Q34" s="2503"/>
      <c r="S34" s="435"/>
      <c r="T34" s="435"/>
      <c r="U34" s="435"/>
      <c r="V34" s="2674" t="s">
        <v>621</v>
      </c>
      <c r="W34" s="2674" t="s">
        <v>619</v>
      </c>
      <c r="X34" s="2523">
        <f>K34</f>
        <v>45</v>
      </c>
      <c r="Y34" s="2523">
        <f>X34*Stammdaten!$P$39</f>
        <v>787.5</v>
      </c>
      <c r="Z34" s="2523">
        <f>M34</f>
        <v>47</v>
      </c>
      <c r="AA34" s="2523">
        <f>Z34*Stammdaten!$P$39</f>
        <v>822.5</v>
      </c>
      <c r="AB34" s="2523">
        <f>O34</f>
        <v>49</v>
      </c>
      <c r="AC34" s="2523">
        <f>AB34*Stammdaten!$P$39</f>
        <v>857.5</v>
      </c>
    </row>
    <row r="35" spans="1:29" ht="3.2" customHeight="1" x14ac:dyDescent="0.2">
      <c r="A35" s="2503"/>
      <c r="B35" s="3967"/>
      <c r="C35" s="1731"/>
      <c r="D35" s="5"/>
      <c r="E35" s="5"/>
      <c r="F35" s="5"/>
      <c r="G35" s="5"/>
      <c r="H35" s="5"/>
      <c r="I35" s="720"/>
      <c r="J35" s="1436"/>
      <c r="K35" s="1791"/>
      <c r="L35" s="1866"/>
      <c r="M35" s="1810"/>
      <c r="N35" s="1871"/>
      <c r="O35" s="1807"/>
      <c r="P35" s="1828"/>
      <c r="Q35" s="2503"/>
      <c r="S35" s="435"/>
      <c r="T35" s="435"/>
      <c r="U35" s="435"/>
      <c r="V35" s="2674"/>
      <c r="W35" s="2674"/>
      <c r="X35" s="2523"/>
      <c r="Y35" s="2523"/>
      <c r="Z35" s="2523"/>
      <c r="AA35" s="2523"/>
      <c r="AB35" s="2523"/>
      <c r="AC35" s="2523"/>
    </row>
    <row r="36" spans="1:29" ht="20.45" customHeight="1" x14ac:dyDescent="0.2">
      <c r="A36" s="2503"/>
      <c r="B36" s="3967"/>
      <c r="C36" s="1731">
        <v>23</v>
      </c>
      <c r="E36" s="11" t="s">
        <v>78</v>
      </c>
      <c r="F36" s="11"/>
      <c r="I36" s="720"/>
      <c r="J36" s="1440"/>
      <c r="K36" s="1791">
        <f>'Sbt(a)'!$K$59</f>
        <v>787.5</v>
      </c>
      <c r="L36" s="1840">
        <f>K36/K$7</f>
        <v>0.105</v>
      </c>
      <c r="M36" s="1810">
        <f>'Sbt(a)'!$M$59</f>
        <v>822.5</v>
      </c>
      <c r="N36" s="2002">
        <f>M36/M$7</f>
        <v>9.6764705882352947E-2</v>
      </c>
      <c r="O36" s="1807">
        <f>'Sbt(a)'!$O$59</f>
        <v>857.5</v>
      </c>
      <c r="P36" s="1832">
        <f>O36/O$7</f>
        <v>9.0263157894736837E-2</v>
      </c>
      <c r="Q36" s="2503"/>
      <c r="S36" s="435"/>
      <c r="T36" s="435"/>
      <c r="U36" s="435"/>
      <c r="V36" s="2674" t="s">
        <v>622</v>
      </c>
      <c r="W36" s="2674" t="s">
        <v>619</v>
      </c>
      <c r="X36" s="2523">
        <f>'Sbt(a)'!J61</f>
        <v>7.1581723476004591</v>
      </c>
      <c r="Y36" s="2523">
        <f>X36*Stammdaten!$P$39</f>
        <v>125.26801608300804</v>
      </c>
      <c r="Z36" s="2523">
        <f>'Sbt(a)'!L61</f>
        <v>7.5715345227172914</v>
      </c>
      <c r="AA36" s="2523">
        <f>Z36*Stammdaten!$P$39</f>
        <v>132.50185414755259</v>
      </c>
      <c r="AB36" s="2523">
        <f>'Sbt(a)'!N61</f>
        <v>7.9272927324407014</v>
      </c>
      <c r="AC36" s="2523">
        <f>AB36*Stammdaten!$P$39</f>
        <v>138.72762281771227</v>
      </c>
    </row>
    <row r="37" spans="1:29" ht="20.45" customHeight="1" x14ac:dyDescent="0.2">
      <c r="A37" s="2503"/>
      <c r="B37" s="3967"/>
      <c r="C37" s="1731">
        <f>C36+1</f>
        <v>24</v>
      </c>
      <c r="E37" s="11" t="s">
        <v>79</v>
      </c>
      <c r="F37" s="11"/>
      <c r="G37" s="11"/>
      <c r="H37" s="11"/>
      <c r="I37" s="1748"/>
      <c r="J37" s="1440"/>
      <c r="K37" s="1791">
        <f>'Sbt(a)'!$K$62</f>
        <v>483.69533333333328</v>
      </c>
      <c r="L37" s="1867"/>
      <c r="M37" s="1810">
        <f>'Sbt(a)'!$M$62</f>
        <v>483.69533333333328</v>
      </c>
      <c r="N37" s="1872"/>
      <c r="O37" s="1807">
        <f>'Sbt(a)'!$O$62</f>
        <v>483.69533333333328</v>
      </c>
      <c r="P37" s="1815"/>
      <c r="Q37" s="2503"/>
      <c r="S37" s="435"/>
      <c r="T37" s="435"/>
      <c r="U37" s="435"/>
      <c r="V37" s="2674" t="s">
        <v>623</v>
      </c>
      <c r="W37" s="2674" t="s">
        <v>619</v>
      </c>
      <c r="X37" s="2523">
        <f>X34+X36</f>
        <v>52.158172347600456</v>
      </c>
      <c r="Y37" s="2523">
        <f>X37*Stammdaten!$P$39</f>
        <v>912.76801608300798</v>
      </c>
      <c r="Z37" s="2523">
        <f>Z34+Z36</f>
        <v>54.571534522717293</v>
      </c>
      <c r="AA37" s="2523">
        <f>Z37*Stammdaten!$P$39</f>
        <v>955.00185414755265</v>
      </c>
      <c r="AB37" s="2523">
        <f>AB34+AB36</f>
        <v>56.927292732440705</v>
      </c>
      <c r="AC37" s="2523">
        <f>AB37*Stammdaten!$P$39</f>
        <v>996.22762281771236</v>
      </c>
    </row>
    <row r="38" spans="1:29" ht="20.45" customHeight="1" x14ac:dyDescent="0.2">
      <c r="A38" s="2503"/>
      <c r="B38" s="3967"/>
      <c r="C38" s="1731">
        <f>C37+1</f>
        <v>25</v>
      </c>
      <c r="E38" s="2" t="s">
        <v>80</v>
      </c>
      <c r="F38" s="2"/>
      <c r="G38" s="11"/>
      <c r="H38" s="11"/>
      <c r="I38" s="722"/>
      <c r="J38" s="1440"/>
      <c r="K38" s="1791">
        <f>'Sbt(a)'!$K$63</f>
        <v>268.0435333333333</v>
      </c>
      <c r="L38" s="1867"/>
      <c r="M38" s="1810">
        <f>'Sbt(a)'!$M$63</f>
        <v>268.0435333333333</v>
      </c>
      <c r="N38" s="1872"/>
      <c r="O38" s="1807">
        <f>'Sbt(a)'!$O$63</f>
        <v>268.0435333333333</v>
      </c>
      <c r="P38" s="1815"/>
      <c r="Q38" s="2503"/>
      <c r="T38" s="435"/>
      <c r="U38" s="435"/>
      <c r="V38" s="435"/>
      <c r="W38" s="435"/>
      <c r="X38" s="435"/>
      <c r="Y38" s="435"/>
      <c r="Z38" s="435"/>
      <c r="AA38" s="435"/>
    </row>
    <row r="39" spans="1:29" ht="20.45" customHeight="1" x14ac:dyDescent="0.2">
      <c r="A39" s="2503"/>
      <c r="B39" s="3967"/>
      <c r="C39" s="1731">
        <f>C38+1</f>
        <v>26</v>
      </c>
      <c r="E39" s="2" t="s">
        <v>81</v>
      </c>
      <c r="F39" s="2"/>
      <c r="G39" s="11"/>
      <c r="H39" s="11"/>
      <c r="I39" s="722"/>
      <c r="J39" s="1440"/>
      <c r="K39" s="1791">
        <f>'Sbt(a)'!$K$64</f>
        <v>93.12939999999999</v>
      </c>
      <c r="L39" s="1867"/>
      <c r="M39" s="1810">
        <f>'Sbt(a)'!$M$64</f>
        <v>93.12939999999999</v>
      </c>
      <c r="N39" s="1872"/>
      <c r="O39" s="1807">
        <f>'Sbt(a)'!$O$64</f>
        <v>93.12939999999999</v>
      </c>
      <c r="P39" s="1815"/>
      <c r="Q39" s="2503"/>
      <c r="T39" s="435"/>
      <c r="U39" s="435"/>
      <c r="V39" s="435"/>
      <c r="W39" s="435"/>
      <c r="X39" s="435"/>
      <c r="Y39" s="435"/>
      <c r="Z39" s="435"/>
      <c r="AA39" s="435"/>
    </row>
    <row r="40" spans="1:29" ht="20.45" customHeight="1" x14ac:dyDescent="0.2">
      <c r="A40" s="2503"/>
      <c r="B40" s="3967"/>
      <c r="C40" s="1731">
        <f>C39+1</f>
        <v>27</v>
      </c>
      <c r="E40" s="11" t="s">
        <v>895</v>
      </c>
      <c r="F40" s="11"/>
      <c r="G40" s="11"/>
      <c r="H40" s="11"/>
      <c r="I40" s="722"/>
      <c r="J40" s="1440"/>
      <c r="K40" s="1791">
        <f>$M$40</f>
        <v>117.60000000000001</v>
      </c>
      <c r="L40" s="1867"/>
      <c r="M40" s="1810">
        <f>Stammdaten!$P$62</f>
        <v>117.60000000000001</v>
      </c>
      <c r="N40" s="1872"/>
      <c r="O40" s="1807">
        <f>$M$40</f>
        <v>117.60000000000001</v>
      </c>
      <c r="P40" s="1819"/>
      <c r="Q40" s="2503"/>
      <c r="T40" s="435"/>
      <c r="U40" s="435"/>
      <c r="V40" s="435"/>
      <c r="W40" s="435"/>
      <c r="X40" s="435"/>
      <c r="Y40" s="435"/>
      <c r="Z40" s="435"/>
      <c r="AA40" s="435"/>
    </row>
    <row r="41" spans="1:29" ht="20.45" customHeight="1" x14ac:dyDescent="0.2">
      <c r="A41" s="2503"/>
      <c r="B41" s="3968"/>
      <c r="C41" s="1733">
        <f>C40+1</f>
        <v>28</v>
      </c>
      <c r="D41" s="12" t="s">
        <v>138</v>
      </c>
      <c r="E41" s="12"/>
      <c r="F41" s="12"/>
      <c r="G41" s="12"/>
      <c r="H41" s="12"/>
      <c r="I41" s="1751"/>
      <c r="J41" s="1450"/>
      <c r="K41" s="1836">
        <f>SUM($K$36:$K$40)</f>
        <v>1749.9682666666665</v>
      </c>
      <c r="L41" s="1838">
        <f>K41/$K$7</f>
        <v>0.2333291022222222</v>
      </c>
      <c r="M41" s="1864">
        <f>SUM($M$36:$M$40)</f>
        <v>1784.9682666666665</v>
      </c>
      <c r="N41" s="1874">
        <f>M41/$M$7</f>
        <v>0.20999626666666665</v>
      </c>
      <c r="O41" s="1837">
        <f>SUM($O$36:$O$40)</f>
        <v>1819.9682666666665</v>
      </c>
      <c r="P41" s="1838">
        <f>O41/$O$7</f>
        <v>0.19157560701754384</v>
      </c>
      <c r="Q41" s="2503"/>
      <c r="T41" s="435"/>
      <c r="U41" s="435"/>
      <c r="V41" s="435"/>
      <c r="W41" s="435"/>
      <c r="X41" s="435"/>
      <c r="Y41" s="435"/>
      <c r="Z41" s="435"/>
      <c r="AA41" s="435"/>
    </row>
    <row r="42" spans="1:29" ht="3.2" customHeight="1" x14ac:dyDescent="0.2">
      <c r="A42" s="2503"/>
      <c r="B42" s="1798"/>
      <c r="C42" s="1734"/>
      <c r="D42" s="887"/>
      <c r="E42" s="887"/>
      <c r="F42" s="887"/>
      <c r="G42" s="887"/>
      <c r="H42" s="887"/>
      <c r="I42" s="891"/>
      <c r="J42" s="1446"/>
      <c r="K42" s="1796"/>
      <c r="L42" s="1868"/>
      <c r="M42" s="1810"/>
      <c r="N42" s="1868"/>
      <c r="O42" s="1810"/>
      <c r="P42" s="1829"/>
      <c r="Q42" s="2503"/>
      <c r="T42" s="435"/>
      <c r="U42" s="435"/>
      <c r="V42" s="435"/>
      <c r="W42" s="435"/>
      <c r="X42" s="435"/>
      <c r="Y42" s="435"/>
      <c r="Z42" s="435"/>
      <c r="AA42" s="435"/>
      <c r="AB42"/>
      <c r="AC42"/>
    </row>
    <row r="43" spans="1:29" ht="24" customHeight="1" x14ac:dyDescent="0.2">
      <c r="A43" s="2503"/>
      <c r="B43" s="1798"/>
      <c r="C43" s="1734">
        <v>29</v>
      </c>
      <c r="D43" s="887" t="s">
        <v>84</v>
      </c>
      <c r="E43" s="887"/>
      <c r="F43" s="887"/>
      <c r="G43" s="887"/>
      <c r="H43" s="2673" t="s">
        <v>1302</v>
      </c>
      <c r="I43" s="1746"/>
      <c r="J43" s="1446"/>
      <c r="K43" s="1805">
        <f>K32-K41</f>
        <v>-782.23238611666693</v>
      </c>
      <c r="L43" s="1869">
        <f>K43/K7</f>
        <v>-0.10429765148222225</v>
      </c>
      <c r="M43" s="1811">
        <f>M32-M41</f>
        <v>-538.88389165000081</v>
      </c>
      <c r="N43" s="1869">
        <f>M43/M7</f>
        <v>-6.3398104900000099E-2</v>
      </c>
      <c r="O43" s="1811">
        <f>O32-O41</f>
        <v>-1417.5027251833346</v>
      </c>
      <c r="P43" s="1825">
        <f>O43/O7</f>
        <v>-0.14921081317719312</v>
      </c>
      <c r="Q43" s="2503"/>
      <c r="T43" s="435"/>
      <c r="U43" s="435"/>
      <c r="V43" s="435"/>
      <c r="W43" s="435"/>
      <c r="X43" s="435"/>
      <c r="Y43" s="435"/>
      <c r="Z43" s="435"/>
      <c r="AA43" s="435"/>
      <c r="AB43"/>
      <c r="AC43"/>
    </row>
    <row r="44" spans="1:29" ht="12.6" customHeight="1" x14ac:dyDescent="0.2">
      <c r="A44" s="2503"/>
      <c r="B44" s="1798"/>
      <c r="C44" s="1735"/>
      <c r="D44" s="926"/>
      <c r="E44" s="926"/>
      <c r="F44" s="926"/>
      <c r="G44" s="926"/>
      <c r="H44" s="926"/>
      <c r="I44" s="1747"/>
      <c r="J44" s="1448"/>
      <c r="K44" s="1804"/>
      <c r="L44" s="1830"/>
      <c r="M44" s="1813"/>
      <c r="N44" s="1830"/>
      <c r="O44" s="1813"/>
      <c r="P44" s="1830"/>
      <c r="Q44" s="2503"/>
      <c r="T44" s="435"/>
      <c r="U44" s="435"/>
      <c r="V44" s="435"/>
      <c r="W44" s="435"/>
      <c r="X44" s="435"/>
      <c r="Y44" s="435"/>
      <c r="Z44" s="435"/>
      <c r="AA44" s="435"/>
      <c r="AB44"/>
      <c r="AC44"/>
    </row>
    <row r="45" spans="1:29" ht="8.1" customHeight="1" x14ac:dyDescent="0.2">
      <c r="A45" s="2503"/>
      <c r="B45" s="1798"/>
      <c r="C45"/>
      <c r="D45"/>
      <c r="E45"/>
      <c r="F45"/>
      <c r="G45"/>
      <c r="H45"/>
      <c r="I45" s="1287"/>
      <c r="J45" s="611"/>
      <c r="K45" s="1795"/>
      <c r="L45" s="589"/>
      <c r="M45" s="1803"/>
      <c r="N45" s="1797"/>
      <c r="O45" s="1803"/>
      <c r="P45" s="1797"/>
      <c r="Q45" s="2503"/>
      <c r="T45" s="435"/>
      <c r="U45" s="435"/>
      <c r="V45" s="435"/>
      <c r="W45" s="435"/>
      <c r="X45" s="435"/>
      <c r="Y45" s="435"/>
      <c r="Z45" s="435"/>
      <c r="AA45" s="435"/>
    </row>
    <row r="46" spans="1:29" ht="21.2" customHeight="1" x14ac:dyDescent="0.2">
      <c r="A46" s="2503"/>
      <c r="B46" s="3952" t="s">
        <v>89</v>
      </c>
      <c r="C46" s="1730">
        <v>30</v>
      </c>
      <c r="D46" s="1738" t="s">
        <v>862</v>
      </c>
      <c r="E46" s="1738"/>
      <c r="F46" s="1738"/>
      <c r="G46" s="1738"/>
      <c r="H46" s="1738"/>
      <c r="I46" s="1750"/>
      <c r="J46" s="1739"/>
      <c r="K46" s="1793"/>
      <c r="L46" s="1877"/>
      <c r="M46" s="1875"/>
      <c r="N46" s="1881"/>
      <c r="O46" s="1814"/>
      <c r="P46" s="1831"/>
      <c r="Q46" s="2503"/>
      <c r="T46" s="435"/>
      <c r="U46" s="435"/>
      <c r="V46" s="435"/>
      <c r="W46" s="435"/>
      <c r="X46" s="435"/>
      <c r="Y46" s="435"/>
      <c r="Z46" s="435"/>
      <c r="AA46" s="435"/>
    </row>
    <row r="47" spans="1:29" ht="21.2" customHeight="1" x14ac:dyDescent="0.2">
      <c r="A47" s="2503"/>
      <c r="B47" s="3953"/>
      <c r="C47" s="1731">
        <f>C46+1</f>
        <v>31</v>
      </c>
      <c r="D47" s="5"/>
      <c r="E47" s="70" t="s">
        <v>157</v>
      </c>
      <c r="F47" s="5"/>
      <c r="G47" s="5"/>
      <c r="H47" s="2673" t="s">
        <v>1303</v>
      </c>
      <c r="I47" s="722"/>
      <c r="J47" s="1440"/>
      <c r="K47" s="1791">
        <f>K43+K36+Y36</f>
        <v>130.53562996634111</v>
      </c>
      <c r="L47" s="1840"/>
      <c r="M47" s="1810">
        <f>M43+M36+AA36</f>
        <v>416.11796249755179</v>
      </c>
      <c r="N47" s="1873"/>
      <c r="O47" s="1791">
        <f>O43+O36+AC36</f>
        <v>-421.27510236562239</v>
      </c>
      <c r="P47" s="1832"/>
      <c r="Q47" s="2503"/>
      <c r="T47" s="435"/>
      <c r="U47" s="435"/>
      <c r="V47" s="435"/>
      <c r="W47" s="435"/>
      <c r="X47" s="435"/>
      <c r="Y47" s="435"/>
      <c r="Z47" s="435"/>
      <c r="AA47" s="435"/>
    </row>
    <row r="48" spans="1:29" ht="21.2" customHeight="1" x14ac:dyDescent="0.2">
      <c r="A48" s="2503"/>
      <c r="B48" s="3953"/>
      <c r="C48" s="1731">
        <f>C47+1</f>
        <v>32</v>
      </c>
      <c r="E48" s="1040" t="s">
        <v>1125</v>
      </c>
      <c r="F48" s="4"/>
      <c r="G48" s="5"/>
      <c r="H48" s="2673" t="s">
        <v>1304</v>
      </c>
      <c r="I48" s="722" t="s">
        <v>988</v>
      </c>
      <c r="J48" s="1440"/>
      <c r="K48" s="1792">
        <f>IF(K34=0,0,(K43+K36+Y36)/(K34+X36))</f>
        <v>2.5026879603143612</v>
      </c>
      <c r="L48" s="1878"/>
      <c r="M48" s="1876">
        <f>IF(M34=0,0,(M43+M36+AA36)/(M34+Z36))</f>
        <v>7.6251834612480662</v>
      </c>
      <c r="N48" s="1868"/>
      <c r="O48" s="1801">
        <f>IF(O34=0,0,(O43+O36+AC36)/(O34+AB36))</f>
        <v>-7.4002307530348039</v>
      </c>
      <c r="P48" s="1822"/>
      <c r="Q48" s="2503"/>
      <c r="T48" s="435"/>
      <c r="U48" s="435"/>
      <c r="V48" s="435"/>
      <c r="W48" s="435"/>
      <c r="X48" s="435"/>
      <c r="Y48" s="435"/>
      <c r="Z48" s="435"/>
      <c r="AA48" s="435"/>
    </row>
    <row r="49" spans="1:27" ht="21.2" customHeight="1" x14ac:dyDescent="0.2">
      <c r="A49" s="2503"/>
      <c r="B49" s="3953"/>
      <c r="C49" s="1731">
        <f>C48+1</f>
        <v>33</v>
      </c>
      <c r="E49" s="70" t="s">
        <v>584</v>
      </c>
      <c r="F49" s="5"/>
      <c r="G49" s="5"/>
      <c r="H49" s="2673" t="s">
        <v>1305</v>
      </c>
      <c r="I49" s="722" t="s">
        <v>989</v>
      </c>
      <c r="J49" s="1440"/>
      <c r="K49" s="1791">
        <f>K43+K37+K38</f>
        <v>-30.493519450000349</v>
      </c>
      <c r="L49" s="1879"/>
      <c r="M49" s="1810">
        <f>M43+M37+M38</f>
        <v>212.85497501666578</v>
      </c>
      <c r="N49" s="1882"/>
      <c r="O49" s="1807">
        <f>O43+O37+O38</f>
        <v>-665.76385851666805</v>
      </c>
      <c r="P49" s="1818"/>
      <c r="Q49" s="2503"/>
      <c r="T49" s="435"/>
      <c r="U49" s="435"/>
      <c r="V49" s="435"/>
      <c r="W49" s="435"/>
      <c r="X49" s="435"/>
      <c r="Y49" s="435"/>
      <c r="Z49" s="435"/>
      <c r="AA49" s="435"/>
    </row>
    <row r="50" spans="1:27" ht="4.7" customHeight="1" x14ac:dyDescent="0.2">
      <c r="A50" s="2503"/>
      <c r="B50" s="3953"/>
      <c r="C50" s="1736"/>
      <c r="D50" s="20"/>
      <c r="E50" s="12"/>
      <c r="F50" s="12"/>
      <c r="G50" s="439"/>
      <c r="H50" s="439"/>
      <c r="I50" s="1749"/>
      <c r="J50" s="1447"/>
      <c r="K50" s="1791"/>
      <c r="L50" s="1820"/>
      <c r="M50" s="1810"/>
      <c r="N50" s="1883"/>
      <c r="O50" s="1807"/>
      <c r="P50" s="1833"/>
      <c r="Q50" s="2503"/>
      <c r="T50" s="435"/>
      <c r="U50" s="435"/>
      <c r="V50" s="435"/>
      <c r="W50" s="435"/>
      <c r="X50" s="435"/>
      <c r="Y50" s="435"/>
      <c r="Z50" s="435"/>
      <c r="AA50" s="435"/>
    </row>
    <row r="51" spans="1:27" ht="10.5" customHeight="1" x14ac:dyDescent="0.2">
      <c r="A51" s="2503"/>
      <c r="B51" s="3953"/>
      <c r="C51" s="1729"/>
      <c r="F51" s="5"/>
      <c r="G51" s="102"/>
      <c r="H51" s="102"/>
      <c r="I51" s="1744"/>
      <c r="J51" s="1443"/>
      <c r="K51" s="1793"/>
      <c r="L51" s="1878"/>
      <c r="M51" s="1875"/>
      <c r="N51" s="1868"/>
      <c r="O51" s="1814"/>
      <c r="P51" s="1822"/>
      <c r="Q51" s="2503"/>
      <c r="T51" s="435"/>
      <c r="U51" s="435"/>
      <c r="V51" s="435"/>
      <c r="W51" s="435"/>
      <c r="X51" s="435"/>
      <c r="Y51" s="435"/>
      <c r="Z51" s="435"/>
      <c r="AA51" s="435"/>
    </row>
    <row r="52" spans="1:27" ht="20.45" customHeight="1" x14ac:dyDescent="0.2">
      <c r="A52" s="2503"/>
      <c r="B52" s="3953"/>
      <c r="C52" s="1731">
        <v>34</v>
      </c>
      <c r="D52" s="5" t="s">
        <v>87</v>
      </c>
      <c r="E52" s="5"/>
      <c r="F52" s="5"/>
      <c r="G52" s="5"/>
      <c r="H52" s="2673" t="s">
        <v>1306</v>
      </c>
      <c r="I52" s="722" t="s">
        <v>989</v>
      </c>
      <c r="J52" s="1440"/>
      <c r="K52" s="1791">
        <f>K23+K28+K31+K41</f>
        <v>5049.7406194499999</v>
      </c>
      <c r="L52" s="1839">
        <f>K52/K7</f>
        <v>0.67329874926</v>
      </c>
      <c r="M52" s="1810">
        <f>M23+M28+M31+M41</f>
        <v>5263.7268666500004</v>
      </c>
      <c r="N52" s="1869">
        <f>M52/M7</f>
        <v>0.61926198431176471</v>
      </c>
      <c r="O52" s="1807">
        <f>O23+O28+O31+O41</f>
        <v>6599.6804418500014</v>
      </c>
      <c r="P52" s="1839">
        <f>O52/O7</f>
        <v>0.69470320440526334</v>
      </c>
      <c r="Q52" s="2503"/>
      <c r="T52" s="435"/>
      <c r="U52" s="435"/>
      <c r="V52" s="435"/>
      <c r="W52" s="435"/>
      <c r="X52" s="435"/>
      <c r="Y52" s="435"/>
      <c r="Z52" s="435"/>
      <c r="AA52" s="435"/>
    </row>
    <row r="53" spans="1:27" ht="20.45" customHeight="1" x14ac:dyDescent="0.2">
      <c r="A53" s="2503"/>
      <c r="B53" s="3953"/>
      <c r="C53" s="1731">
        <f>C52+1</f>
        <v>35</v>
      </c>
      <c r="E53" s="11" t="s">
        <v>88</v>
      </c>
      <c r="F53" s="11"/>
      <c r="G53" s="103"/>
      <c r="H53" s="2673" t="s">
        <v>192</v>
      </c>
      <c r="I53" s="722"/>
      <c r="J53" s="1440"/>
      <c r="K53" s="1791">
        <f>K11+K12+K13+K27</f>
        <v>892.17073333333337</v>
      </c>
      <c r="L53" s="1840">
        <f>K53/K7</f>
        <v>0.11895609777777778</v>
      </c>
      <c r="M53" s="1810">
        <f>M11+M12+M13+M27</f>
        <v>899.46047500000009</v>
      </c>
      <c r="N53" s="1873">
        <f>M53/M7</f>
        <v>0.10581887941176471</v>
      </c>
      <c r="O53" s="1807">
        <f>O11+O12+O13+O27</f>
        <v>906.7502166666668</v>
      </c>
      <c r="P53" s="1840">
        <f>O53/O7</f>
        <v>9.5447391228070194E-2</v>
      </c>
      <c r="Q53" s="2503"/>
      <c r="T53" s="435"/>
      <c r="U53" s="435"/>
      <c r="V53" s="435"/>
      <c r="W53" s="435"/>
      <c r="X53" s="435"/>
      <c r="Y53" s="435"/>
      <c r="Z53" s="435"/>
      <c r="AA53" s="435"/>
    </row>
    <row r="54" spans="1:27" ht="12.6" customHeight="1" x14ac:dyDescent="0.2">
      <c r="A54" s="2503"/>
      <c r="B54" s="3953"/>
      <c r="C54" s="1733"/>
      <c r="D54" s="20"/>
      <c r="E54" s="27"/>
      <c r="F54" s="27"/>
      <c r="G54" s="440"/>
      <c r="H54" s="440"/>
      <c r="I54" s="1751"/>
      <c r="J54" s="1450"/>
      <c r="K54" s="1791"/>
      <c r="L54" s="1880"/>
      <c r="M54" s="1810"/>
      <c r="N54" s="1884"/>
      <c r="O54" s="1807"/>
      <c r="P54" s="1834"/>
      <c r="Q54" s="2503"/>
      <c r="T54" s="435"/>
      <c r="U54" s="435"/>
      <c r="V54" s="435"/>
      <c r="W54" s="435"/>
      <c r="X54" s="435"/>
      <c r="Y54" s="435"/>
      <c r="Z54" s="435"/>
      <c r="AA54" s="435"/>
    </row>
    <row r="55" spans="1:27" ht="20.45" customHeight="1" x14ac:dyDescent="0.2">
      <c r="A55" s="2503"/>
      <c r="B55" s="3953"/>
      <c r="C55" s="1731">
        <v>36</v>
      </c>
      <c r="D55" s="70" t="s">
        <v>1330</v>
      </c>
      <c r="E55" s="11"/>
      <c r="F55" s="11"/>
      <c r="G55" s="103"/>
      <c r="H55" s="103"/>
      <c r="I55" s="722"/>
      <c r="J55" s="1440"/>
      <c r="K55" s="1793">
        <f>(K52-K53)/Stammdaten!S7</f>
        <v>3796.8674759056316</v>
      </c>
      <c r="L55" s="3148">
        <f>$K$55/K7</f>
        <v>0.50624899678741753</v>
      </c>
      <c r="M55" s="1875">
        <f>(M52-M53)/Stammdaten!S7</f>
        <v>3985.6314078995438</v>
      </c>
      <c r="N55" s="3149">
        <f>M55/M7</f>
        <v>0.468897812694064</v>
      </c>
      <c r="O55" s="1814">
        <f>(O52-O53)/Stammdaten!S7</f>
        <v>5199.0230366971091</v>
      </c>
      <c r="P55" s="3148">
        <f>O55/O7</f>
        <v>0.54726558281022197</v>
      </c>
      <c r="Q55" s="2503"/>
      <c r="T55" s="435"/>
      <c r="U55" s="435"/>
      <c r="V55" s="435"/>
      <c r="W55" s="435"/>
      <c r="X55" s="435"/>
      <c r="Y55" s="435"/>
      <c r="Z55" s="435"/>
      <c r="AA55" s="435"/>
    </row>
    <row r="56" spans="1:27" ht="21.2" customHeight="1" thickBot="1" x14ac:dyDescent="0.25">
      <c r="A56" s="2503"/>
      <c r="B56" s="3953"/>
      <c r="C56" s="1905">
        <v>37</v>
      </c>
      <c r="D56" s="2735"/>
      <c r="E56" s="2736"/>
      <c r="F56" s="2662" t="str">
        <f>IF(Stammdaten!S7=1,"","dto. mit Mwst.")</f>
        <v>dto. mit Mwst.</v>
      </c>
      <c r="G56" s="2663"/>
      <c r="H56" s="2737" t="s">
        <v>1308</v>
      </c>
      <c r="I56" s="2738"/>
      <c r="J56" s="2739"/>
      <c r="K56" s="2003">
        <f>IF(Stammdaten!S7=1,"",K52-K53)</f>
        <v>4157.5698861166666</v>
      </c>
      <c r="L56" s="2740">
        <f>IF(Stammdaten!S7=1,"",K56/K7)</f>
        <v>0.55434265148222217</v>
      </c>
      <c r="M56" s="2004">
        <f>IF(Stammdaten!S7=1,"",M52-M53)</f>
        <v>4364.2663916500005</v>
      </c>
      <c r="N56" s="2741">
        <f>IF(Stammdaten!S7=1,"",M56/M7)</f>
        <v>0.51344310490000011</v>
      </c>
      <c r="O56" s="2005">
        <f>IF(Stammdaten!S7=1,"",O52-O53)</f>
        <v>5692.9302251833342</v>
      </c>
      <c r="P56" s="2742">
        <f>IF(Stammdaten!S7=1,"",O56/O7)</f>
        <v>0.59925581317719312</v>
      </c>
      <c r="Q56" s="2503"/>
      <c r="T56" s="435"/>
      <c r="U56" s="435"/>
      <c r="V56" s="435"/>
      <c r="W56" s="435"/>
      <c r="X56" s="435"/>
      <c r="Y56" s="435"/>
      <c r="Z56" s="435"/>
      <c r="AA56" s="435"/>
    </row>
    <row r="57" spans="1:27" ht="6.6" customHeight="1" x14ac:dyDescent="0.2">
      <c r="A57" s="2503"/>
      <c r="B57" s="3953"/>
      <c r="C57" s="1731"/>
      <c r="D57" s="823"/>
      <c r="E57" s="73"/>
      <c r="F57" s="73"/>
      <c r="G57" s="5"/>
      <c r="H57" s="1752"/>
      <c r="I57" s="1744"/>
      <c r="J57" s="96"/>
      <c r="K57" s="1791"/>
      <c r="L57" s="1839"/>
      <c r="M57" s="1810"/>
      <c r="N57" s="1869"/>
      <c r="O57" s="1807"/>
      <c r="P57" s="1819"/>
      <c r="Q57" s="2503"/>
      <c r="T57" s="435"/>
      <c r="U57" s="435"/>
      <c r="V57" s="435"/>
      <c r="W57" s="435"/>
      <c r="X57" s="435"/>
      <c r="Y57" s="435"/>
      <c r="Z57" s="435"/>
      <c r="AA57" s="435"/>
    </row>
    <row r="58" spans="1:27" ht="21.2" customHeight="1" x14ac:dyDescent="0.2">
      <c r="A58" s="2503"/>
      <c r="B58" s="3953"/>
      <c r="C58" s="1731">
        <f>C56+1</f>
        <v>38</v>
      </c>
      <c r="D58" s="70" t="s">
        <v>379</v>
      </c>
      <c r="F58" s="73"/>
      <c r="G58" s="5"/>
      <c r="H58" s="1752"/>
      <c r="I58" s="1744"/>
      <c r="J58" s="96"/>
      <c r="K58" s="1791"/>
      <c r="L58" s="1839"/>
      <c r="M58" s="1810"/>
      <c r="N58" s="1869"/>
      <c r="O58" s="1807"/>
      <c r="P58" s="1819"/>
      <c r="Q58" s="2503"/>
      <c r="T58" s="435"/>
      <c r="U58" s="435"/>
      <c r="V58" s="435"/>
      <c r="W58" s="435"/>
      <c r="X58" s="435"/>
      <c r="Y58" s="435"/>
      <c r="Z58" s="435"/>
      <c r="AA58" s="435"/>
    </row>
    <row r="59" spans="1:27" ht="21.2" customHeight="1" x14ac:dyDescent="0.2">
      <c r="A59" s="2503"/>
      <c r="B59" s="3953"/>
      <c r="C59" s="1731">
        <f t="shared" ref="C59:C65" si="1">C58+1</f>
        <v>39</v>
      </c>
      <c r="D59" s="823"/>
      <c r="E59" s="11" t="s">
        <v>615</v>
      </c>
      <c r="G59" s="5"/>
      <c r="H59" s="1752"/>
      <c r="I59" s="722" t="s">
        <v>989</v>
      </c>
      <c r="J59" s="96"/>
      <c r="K59" s="1791">
        <f>K23+K28</f>
        <v>2163.7205358833335</v>
      </c>
      <c r="L59" s="1840">
        <f>K59/K7</f>
        <v>0.28849607145111111</v>
      </c>
      <c r="M59" s="1810">
        <f>M23+M28</f>
        <v>2252.6206154833335</v>
      </c>
      <c r="N59" s="1873">
        <f>M59/M7</f>
        <v>0.26501419005686278</v>
      </c>
      <c r="O59" s="1807">
        <f>O23+O28</f>
        <v>3468.1206950833339</v>
      </c>
      <c r="P59" s="1840">
        <f>O59/O7</f>
        <v>0.36506533632456145</v>
      </c>
      <c r="Q59" s="2503"/>
      <c r="T59" s="435"/>
      <c r="U59" s="435"/>
      <c r="V59" s="435"/>
      <c r="W59" s="435"/>
      <c r="X59" s="435"/>
      <c r="Y59" s="435"/>
      <c r="Z59" s="435"/>
      <c r="AA59" s="435"/>
    </row>
    <row r="60" spans="1:27" ht="21.2" customHeight="1" x14ac:dyDescent="0.2">
      <c r="A60" s="2503"/>
      <c r="B60" s="3953"/>
      <c r="C60" s="1731">
        <f t="shared" si="1"/>
        <v>40</v>
      </c>
      <c r="D60" s="823"/>
      <c r="E60" s="11" t="s">
        <v>616</v>
      </c>
      <c r="G60" s="5"/>
      <c r="H60" s="1752"/>
      <c r="I60" s="1744"/>
      <c r="J60" s="96"/>
      <c r="K60" s="1791">
        <f>Y32</f>
        <v>411.03382320000003</v>
      </c>
      <c r="L60" s="1840">
        <f>K60/K7</f>
        <v>5.4804509760000002E-2</v>
      </c>
      <c r="M60" s="1796">
        <f>AA32</f>
        <v>455.87181475000011</v>
      </c>
      <c r="N60" s="1873">
        <f>M60/M7</f>
        <v>5.3631978205882364E-2</v>
      </c>
      <c r="O60" s="1791">
        <f>AC32</f>
        <v>501.28889030000016</v>
      </c>
      <c r="P60" s="1840">
        <f>O60/O7</f>
        <v>5.2767251610526332E-2</v>
      </c>
      <c r="Q60" s="2503"/>
      <c r="T60" s="435"/>
      <c r="U60" s="435"/>
      <c r="V60" s="435"/>
      <c r="W60" s="435"/>
      <c r="X60" s="435"/>
      <c r="Y60" s="435"/>
      <c r="Z60" s="435"/>
      <c r="AA60" s="435"/>
    </row>
    <row r="61" spans="1:27" ht="21.2" customHeight="1" x14ac:dyDescent="0.2">
      <c r="A61" s="2503"/>
      <c r="B61" s="3953"/>
      <c r="C61" s="1731">
        <f t="shared" si="1"/>
        <v>41</v>
      </c>
      <c r="D61" s="823"/>
      <c r="E61" s="11" t="s">
        <v>617</v>
      </c>
      <c r="G61" s="5"/>
      <c r="H61" s="1752"/>
      <c r="I61" s="1744"/>
      <c r="J61" s="96"/>
      <c r="K61" s="1791">
        <f>K53</f>
        <v>892.17073333333337</v>
      </c>
      <c r="L61" s="1840">
        <f>K61/K7</f>
        <v>0.11895609777777778</v>
      </c>
      <c r="M61" s="1810">
        <f>M53</f>
        <v>899.46047500000009</v>
      </c>
      <c r="N61" s="1873">
        <f>M61/M7</f>
        <v>0.10581887941176471</v>
      </c>
      <c r="O61" s="1807">
        <f>O53</f>
        <v>906.7502166666668</v>
      </c>
      <c r="P61" s="1840">
        <f>O61/O7</f>
        <v>9.5447391228070194E-2</v>
      </c>
      <c r="Q61" s="2503"/>
      <c r="T61" s="435"/>
      <c r="U61" s="435"/>
      <c r="V61" s="435"/>
      <c r="W61" s="435"/>
      <c r="X61" s="435"/>
      <c r="Y61" s="435"/>
      <c r="Z61" s="435"/>
      <c r="AA61" s="435"/>
    </row>
    <row r="62" spans="1:27" ht="21.2" customHeight="1" x14ac:dyDescent="0.2">
      <c r="A62" s="2503"/>
      <c r="B62" s="3953"/>
      <c r="C62" s="1731">
        <f t="shared" si="1"/>
        <v>42</v>
      </c>
      <c r="D62" s="73" t="s">
        <v>618</v>
      </c>
      <c r="F62" s="73"/>
      <c r="G62" s="5"/>
      <c r="H62" s="1752"/>
      <c r="I62" s="3813" t="s">
        <v>259</v>
      </c>
      <c r="J62" s="96"/>
      <c r="K62" s="1791">
        <f>(K59+K60-K61)/Stammdaten!S7</f>
        <v>1536.6060509132421</v>
      </c>
      <c r="L62" s="1839">
        <f>K62/K7</f>
        <v>0.20488080678843229</v>
      </c>
      <c r="M62" s="1810">
        <f>(M59+M60-M61)/Stammdaten!S7</f>
        <v>1652.0839773820401</v>
      </c>
      <c r="N62" s="1869">
        <f>M62/M7</f>
        <v>0.19436282086847531</v>
      </c>
      <c r="O62" s="1807">
        <f>(O59+O60-O61)/Stammdaten!S7</f>
        <v>2796.9491951750388</v>
      </c>
      <c r="P62" s="1839">
        <f>O62/O7</f>
        <v>0.29441570475526724</v>
      </c>
      <c r="Q62" s="2503"/>
      <c r="T62" s="435"/>
      <c r="U62" s="435"/>
      <c r="V62" s="435"/>
      <c r="W62" s="435"/>
      <c r="X62" s="435"/>
      <c r="Y62" s="435"/>
      <c r="Z62" s="435"/>
      <c r="AA62" s="435"/>
    </row>
    <row r="63" spans="1:27" ht="21.2" customHeight="1" thickBot="1" x14ac:dyDescent="0.25">
      <c r="A63" s="2503"/>
      <c r="B63" s="3953"/>
      <c r="C63" s="1905">
        <f t="shared" si="1"/>
        <v>43</v>
      </c>
      <c r="D63" s="2662"/>
      <c r="E63" s="2735"/>
      <c r="F63" s="2662" t="str">
        <f>IF(Stammdaten!S7=1,"","dto. mit Mwst.")</f>
        <v>dto. mit Mwst.</v>
      </c>
      <c r="G63" s="2663"/>
      <c r="H63" s="2733"/>
      <c r="I63" s="3815"/>
      <c r="J63" s="2739"/>
      <c r="K63" s="2003">
        <f>IF(Stammdaten!$S$7=1,"",K59+K60-K61)</f>
        <v>1682.58362575</v>
      </c>
      <c r="L63" s="2740">
        <f>K63/K7</f>
        <v>0.22434448343333332</v>
      </c>
      <c r="M63" s="2004">
        <f>IF(Stammdaten!$S$7=1,"",M59+M60-M61)</f>
        <v>1809.0319552333337</v>
      </c>
      <c r="N63" s="2741">
        <f>M63/M7</f>
        <v>0.21282728885098043</v>
      </c>
      <c r="O63" s="2005">
        <f>IF(Stammdaten!$S$7=1,"",O59+O60-O61)</f>
        <v>3062.6593687166674</v>
      </c>
      <c r="P63" s="2742">
        <f>O63/O7</f>
        <v>0.3223851967070176</v>
      </c>
      <c r="Q63" s="2503"/>
      <c r="T63" s="435"/>
      <c r="U63" s="435"/>
      <c r="V63" s="435"/>
      <c r="W63" s="435"/>
      <c r="X63" s="435"/>
      <c r="Y63" s="435"/>
      <c r="Z63" s="435"/>
      <c r="AA63" s="435"/>
    </row>
    <row r="64" spans="1:27" ht="21.2" customHeight="1" x14ac:dyDescent="0.2">
      <c r="A64" s="2503"/>
      <c r="B64" s="3953"/>
      <c r="C64" s="1731">
        <f>C63+1</f>
        <v>44</v>
      </c>
      <c r="D64" s="73" t="s">
        <v>840</v>
      </c>
      <c r="E64" s="73"/>
      <c r="F64" s="73"/>
      <c r="G64" s="5"/>
      <c r="H64" s="2673" t="s">
        <v>1309</v>
      </c>
      <c r="I64" s="722" t="s">
        <v>989</v>
      </c>
      <c r="J64" s="96"/>
      <c r="K64" s="1791">
        <f>K14+K27-K59-K60</f>
        <v>1692.7538742499996</v>
      </c>
      <c r="L64" s="1869"/>
      <c r="M64" s="1810">
        <f>M14+M27-M59-M60</f>
        <v>2016.350544766666</v>
      </c>
      <c r="N64" s="1869"/>
      <c r="O64" s="1807">
        <f>O14+O27-O59-O60</f>
        <v>1212.768131283332</v>
      </c>
      <c r="P64" s="1825"/>
      <c r="Q64" s="2503"/>
      <c r="T64" s="435"/>
      <c r="U64" s="435"/>
      <c r="V64" s="435"/>
      <c r="W64" s="435"/>
      <c r="X64" s="435"/>
      <c r="Y64" s="435"/>
      <c r="Z64" s="435"/>
      <c r="AA64" s="435"/>
    </row>
    <row r="65" spans="1:27" ht="16.5" customHeight="1" x14ac:dyDescent="0.2">
      <c r="A65" s="2503"/>
      <c r="B65" s="3953"/>
      <c r="C65" s="1731">
        <f t="shared" si="1"/>
        <v>45</v>
      </c>
      <c r="D65" s="823"/>
      <c r="E65" s="11" t="s">
        <v>380</v>
      </c>
      <c r="G65" s="5"/>
      <c r="H65" s="2673"/>
      <c r="I65" s="1744" t="s">
        <v>381</v>
      </c>
      <c r="J65" s="96"/>
      <c r="K65" s="2724">
        <f>K64/X37</f>
        <v>32.454240592804723</v>
      </c>
      <c r="L65" s="1869"/>
      <c r="M65" s="2725">
        <f>M64/Z37</f>
        <v>36.948760235563654</v>
      </c>
      <c r="N65" s="1869"/>
      <c r="O65" s="2726">
        <f>O64/AB37</f>
        <v>21.303808297776673</v>
      </c>
      <c r="P65" s="1825"/>
      <c r="Q65" s="2503"/>
      <c r="T65" s="435"/>
      <c r="U65" s="435"/>
      <c r="V65" s="435"/>
      <c r="W65" s="435"/>
      <c r="X65" s="435"/>
      <c r="Y65" s="435"/>
      <c r="Z65" s="435"/>
      <c r="AA65" s="435"/>
    </row>
    <row r="66" spans="1:27" ht="4.7" customHeight="1" thickBot="1" x14ac:dyDescent="0.25">
      <c r="A66" s="2503"/>
      <c r="B66" s="3953"/>
      <c r="C66" s="1731"/>
      <c r="D66" s="823"/>
      <c r="E66" s="73"/>
      <c r="F66" s="73"/>
      <c r="H66" s="1752"/>
      <c r="I66" s="1744"/>
      <c r="J66" s="96"/>
      <c r="K66" s="1791"/>
      <c r="L66" s="1869"/>
      <c r="M66" s="1810"/>
      <c r="N66" s="1869"/>
      <c r="O66" s="1807"/>
      <c r="P66" s="1825"/>
      <c r="Q66" s="2503"/>
      <c r="T66" s="435"/>
      <c r="U66" s="435"/>
      <c r="V66" s="435"/>
      <c r="W66" s="435"/>
      <c r="X66" s="435"/>
      <c r="Y66" s="435"/>
      <c r="Z66" s="435"/>
      <c r="AA66" s="435"/>
    </row>
    <row r="67" spans="1:27" ht="22.15" customHeight="1" x14ac:dyDescent="0.2">
      <c r="A67" s="2503"/>
      <c r="B67" s="3953"/>
      <c r="C67" s="2006">
        <v>46</v>
      </c>
      <c r="D67" s="2007" t="s">
        <v>591</v>
      </c>
      <c r="E67" s="2008"/>
      <c r="F67" s="2008"/>
      <c r="G67" s="2734" t="s">
        <v>585</v>
      </c>
      <c r="H67" s="2009"/>
      <c r="I67" s="2010" t="s">
        <v>989</v>
      </c>
      <c r="J67" s="2011"/>
      <c r="K67" s="2012">
        <f>K17+K18+K19+K20+K21+K28+K31</f>
        <v>3118.2819257833335</v>
      </c>
      <c r="L67" s="2013">
        <f>K67/K7</f>
        <v>0.41577092343777777</v>
      </c>
      <c r="M67" s="2014">
        <f>M17+M18+M19+M20+M21+M28+M31</f>
        <v>3288.8278929833341</v>
      </c>
      <c r="N67" s="2013">
        <f>M67/M7</f>
        <v>0.38692092858627458</v>
      </c>
      <c r="O67" s="2014">
        <f>O17+O18+O19+O20+O21+O28+O31</f>
        <v>4580.3411881833345</v>
      </c>
      <c r="P67" s="2013">
        <f>O67/O7</f>
        <v>0.48214117770350889</v>
      </c>
      <c r="Q67" s="2503"/>
      <c r="T67" s="435"/>
      <c r="U67" s="435"/>
      <c r="V67" s="435"/>
      <c r="W67" s="435"/>
      <c r="X67" s="435"/>
      <c r="Y67" s="435"/>
      <c r="Z67" s="435"/>
      <c r="AA67" s="435"/>
    </row>
    <row r="68" spans="1:27" ht="22.15" customHeight="1" x14ac:dyDescent="0.2">
      <c r="A68" s="2503"/>
      <c r="B68" s="3953"/>
      <c r="C68" s="1733">
        <f>C67+1</f>
        <v>47</v>
      </c>
      <c r="D68" s="2018" t="s">
        <v>93</v>
      </c>
      <c r="E68" s="2722"/>
      <c r="F68" s="2722"/>
      <c r="G68" s="12"/>
      <c r="H68" s="1925" t="s">
        <v>1508</v>
      </c>
      <c r="I68" s="2021"/>
      <c r="J68" s="2727"/>
      <c r="K68" s="2730">
        <f>(K14+K27)-K67</f>
        <v>1149.2263075499995</v>
      </c>
      <c r="L68" s="2728">
        <f>K68/K7</f>
        <v>0.15323017433999994</v>
      </c>
      <c r="M68" s="2731">
        <f>(M14+M27)-M67</f>
        <v>1436.0150820166655</v>
      </c>
      <c r="N68" s="2729">
        <f>M68/M7</f>
        <v>0.16894295082549005</v>
      </c>
      <c r="O68" s="2732">
        <f>(O14+O27)-O67</f>
        <v>601.83652848333168</v>
      </c>
      <c r="P68" s="2728">
        <f>O68/O7</f>
        <v>6.3351213524561231E-2</v>
      </c>
      <c r="Q68" s="2503"/>
      <c r="T68" s="435"/>
      <c r="U68" s="435"/>
      <c r="V68" s="435"/>
      <c r="W68" s="435"/>
      <c r="X68" s="435"/>
      <c r="Y68" s="435"/>
      <c r="Z68" s="435"/>
      <c r="AA68" s="435"/>
    </row>
    <row r="69" spans="1:27" ht="22.15" customHeight="1" thickBot="1" x14ac:dyDescent="0.25">
      <c r="A69" s="2503"/>
      <c r="B69" s="3953"/>
      <c r="C69" s="1905">
        <v>48</v>
      </c>
      <c r="D69" s="2661" t="s">
        <v>382</v>
      </c>
      <c r="E69" s="2662"/>
      <c r="F69" s="2662"/>
      <c r="G69" s="2663"/>
      <c r="H69" s="2733" t="s">
        <v>383</v>
      </c>
      <c r="I69" s="2664"/>
      <c r="J69" s="2665"/>
      <c r="K69" s="2668">
        <f>K22+K36+K38+K39</f>
        <v>1330.1633603333332</v>
      </c>
      <c r="L69" s="2666">
        <f>K69/K7</f>
        <v>0.17735511471111109</v>
      </c>
      <c r="M69" s="2669">
        <f>M22+M36+M38+M39</f>
        <v>1373.6036403333333</v>
      </c>
      <c r="N69" s="2667">
        <f>M69/M7</f>
        <v>0.16160042827450979</v>
      </c>
      <c r="O69" s="2670">
        <f>O22+O36+O38+O39</f>
        <v>1418.0439203333333</v>
      </c>
      <c r="P69" s="2666">
        <f>O69/O7</f>
        <v>0.14926778108771929</v>
      </c>
      <c r="Q69" s="2503"/>
      <c r="T69" s="435"/>
      <c r="U69" s="435"/>
      <c r="V69" s="435"/>
      <c r="W69" s="435"/>
      <c r="X69" s="435"/>
      <c r="Y69" s="435"/>
      <c r="Z69" s="435"/>
      <c r="AA69" s="435"/>
    </row>
    <row r="70" spans="1:27" ht="21.2" customHeight="1" x14ac:dyDescent="0.2">
      <c r="A70" s="2503"/>
      <c r="C70" s="29" t="s">
        <v>771</v>
      </c>
      <c r="D70" s="29"/>
      <c r="E70" s="29"/>
      <c r="F70" s="29"/>
      <c r="G70" s="29"/>
      <c r="H70" s="29"/>
      <c r="I70" s="68"/>
      <c r="J70" s="68"/>
      <c r="Q70" s="2503"/>
      <c r="T70" s="435"/>
      <c r="U70" s="435"/>
      <c r="V70" s="435"/>
      <c r="W70" s="435"/>
      <c r="X70" s="435"/>
      <c r="Y70" s="435"/>
      <c r="Z70" s="435"/>
      <c r="AA70" s="435"/>
    </row>
    <row r="71" spans="1:27" ht="15" customHeight="1" x14ac:dyDescent="0.2">
      <c r="A71" s="2503"/>
      <c r="B71" s="2503"/>
      <c r="C71" s="2503"/>
      <c r="D71" s="2503"/>
      <c r="E71" s="2503"/>
      <c r="F71" s="2503"/>
      <c r="G71" s="2503"/>
      <c r="H71" s="2503"/>
      <c r="I71" s="2503"/>
      <c r="J71" s="2503"/>
      <c r="K71" s="2503"/>
      <c r="L71" s="2503"/>
      <c r="M71" s="2503" t="s">
        <v>43</v>
      </c>
      <c r="N71" s="2503"/>
      <c r="O71" s="2503"/>
      <c r="P71" s="2503"/>
      <c r="Q71" s="2503"/>
      <c r="T71" s="435"/>
      <c r="U71" s="435"/>
      <c r="V71" s="435"/>
      <c r="W71" s="435"/>
      <c r="X71" s="435"/>
      <c r="Y71" s="435"/>
      <c r="Z71" s="435"/>
      <c r="AA71" s="435"/>
    </row>
    <row r="72" spans="1:27" ht="15" x14ac:dyDescent="0.2">
      <c r="T72" s="435"/>
      <c r="U72" s="435"/>
      <c r="V72" s="435"/>
      <c r="W72" s="435"/>
      <c r="X72" s="435"/>
      <c r="Y72" s="435"/>
      <c r="Z72" s="435"/>
      <c r="AA72" s="435"/>
    </row>
    <row r="93" ht="13.9" customHeight="1" x14ac:dyDescent="0.2"/>
    <row r="95" ht="33" customHeight="1" x14ac:dyDescent="0.2"/>
    <row r="98" ht="18" customHeight="1" x14ac:dyDescent="0.2"/>
    <row r="99" ht="18" customHeight="1" x14ac:dyDescent="0.2"/>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9" ht="18.75" customHeight="1" x14ac:dyDescent="0.2"/>
    <row r="110" ht="18.75" customHeight="1" x14ac:dyDescent="0.2"/>
    <row r="111" ht="18.75" customHeight="1" x14ac:dyDescent="0.2"/>
    <row r="112" ht="18.75" customHeight="1" x14ac:dyDescent="0.2"/>
    <row r="113" ht="18.75" customHeight="1" x14ac:dyDescent="0.2"/>
    <row r="114" ht="18.75" customHeight="1" x14ac:dyDescent="0.2"/>
    <row r="115" ht="26.45" customHeight="1" x14ac:dyDescent="0.2"/>
    <row r="116" ht="18.75" customHeight="1" x14ac:dyDescent="0.2"/>
    <row r="117" ht="16.149999999999999" customHeight="1" x14ac:dyDescent="0.2"/>
    <row r="118" ht="40.9" customHeight="1" x14ac:dyDescent="0.2"/>
    <row r="119" ht="17.45" customHeight="1" x14ac:dyDescent="0.2"/>
    <row r="120" ht="16.149999999999999" customHeight="1" x14ac:dyDescent="0.2"/>
    <row r="121" ht="16.149999999999999" customHeight="1" x14ac:dyDescent="0.2"/>
    <row r="122" ht="16.149999999999999" customHeight="1" x14ac:dyDescent="0.2"/>
    <row r="123" ht="16.149999999999999" customHeight="1" x14ac:dyDescent="0.2"/>
    <row r="124" ht="24" customHeight="1" x14ac:dyDescent="0.2"/>
    <row r="125" ht="16.149999999999999" customHeight="1" x14ac:dyDescent="0.2"/>
    <row r="127" ht="40.9" customHeight="1" x14ac:dyDescent="0.2"/>
    <row r="128" ht="42.6" customHeight="1" x14ac:dyDescent="0.2"/>
    <row r="129" ht="39.200000000000003" customHeight="1" x14ac:dyDescent="0.2"/>
    <row r="192" hidden="1" x14ac:dyDescent="0.2"/>
    <row r="193" spans="3:18" hidden="1" x14ac:dyDescent="0.2"/>
    <row r="194" spans="3:18" ht="19.5" hidden="1" x14ac:dyDescent="0.2">
      <c r="D194" s="1346" t="s">
        <v>743</v>
      </c>
    </row>
    <row r="195" spans="3:18" hidden="1" x14ac:dyDescent="0.2"/>
    <row r="196" spans="3:18" hidden="1" x14ac:dyDescent="0.2"/>
    <row r="197" spans="3:18" ht="24.6" hidden="1" customHeight="1" x14ac:dyDescent="0.2"/>
    <row r="198" spans="3:18" ht="30" hidden="1" x14ac:dyDescent="0.2">
      <c r="E198" s="1222" t="s">
        <v>741</v>
      </c>
      <c r="F198" s="1196" t="s">
        <v>696</v>
      </c>
      <c r="K198" s="1192" t="s">
        <v>698</v>
      </c>
      <c r="M198" s="1767">
        <v>37299</v>
      </c>
      <c r="N198" s="1767"/>
      <c r="P198" s="1767"/>
      <c r="Q198" s="1266" t="s">
        <v>700</v>
      </c>
      <c r="R198" s="345"/>
    </row>
    <row r="199" spans="3:18" hidden="1" x14ac:dyDescent="0.2">
      <c r="E199" s="1221"/>
      <c r="Q199" s="1270" t="s">
        <v>701</v>
      </c>
      <c r="R199" s="309"/>
    </row>
    <row r="200" spans="3:18" hidden="1" x14ac:dyDescent="0.2">
      <c r="Q200" s="101"/>
      <c r="R200" s="349"/>
    </row>
    <row r="201" spans="3:18" ht="20.25" hidden="1" x14ac:dyDescent="0.2">
      <c r="C201" s="348"/>
      <c r="D201" s="1227" t="s">
        <v>69</v>
      </c>
      <c r="E201" s="1213"/>
      <c r="F201" s="1213"/>
      <c r="G201" s="1213"/>
      <c r="H201" s="1213"/>
      <c r="I201" s="1214"/>
      <c r="J201" s="1215"/>
      <c r="K201" s="1768" t="e">
        <f>#REF!-#REF!</f>
        <v>#REF!</v>
      </c>
      <c r="L201" s="1768"/>
      <c r="M201" s="1769" t="e">
        <f>#REF!-#REF!</f>
        <v>#REF!</v>
      </c>
      <c r="N201" s="1769"/>
      <c r="O201" s="1768" t="e">
        <f>#REF!-#REF!</f>
        <v>#REF!</v>
      </c>
      <c r="P201" s="1769"/>
      <c r="Q201" s="1267" t="e">
        <f>M201/#REF!</f>
        <v>#REF!</v>
      </c>
      <c r="R201" s="349"/>
    </row>
    <row r="202" spans="3:18" ht="16.5" hidden="1" x14ac:dyDescent="0.2">
      <c r="C202" s="7"/>
      <c r="E202" s="11" t="s">
        <v>682</v>
      </c>
      <c r="F202" s="11"/>
      <c r="G202" s="5"/>
      <c r="H202" s="5"/>
      <c r="I202" s="1210"/>
      <c r="J202" s="91"/>
      <c r="K202" s="1759"/>
      <c r="L202" s="1759"/>
      <c r="M202" s="1758"/>
      <c r="N202" s="1758"/>
      <c r="O202" s="1759"/>
      <c r="P202" s="1758"/>
      <c r="Q202" s="1267" t="e">
        <f>M202/#REF!</f>
        <v>#REF!</v>
      </c>
      <c r="R202" s="349"/>
    </row>
    <row r="203" spans="3:18" ht="16.5" hidden="1" x14ac:dyDescent="0.2">
      <c r="C203" s="7"/>
      <c r="E203" s="11" t="s">
        <v>742</v>
      </c>
      <c r="F203" s="11"/>
      <c r="G203" s="5"/>
      <c r="H203" s="5"/>
      <c r="I203" s="1211">
        <v>0.45</v>
      </c>
      <c r="J203" s="91"/>
      <c r="K203" s="1759">
        <f>K31*$I$203</f>
        <v>511.22331760499998</v>
      </c>
      <c r="L203" s="1759"/>
      <c r="M203" s="1758">
        <f>M31*$I$203</f>
        <v>551.76209302500013</v>
      </c>
      <c r="N203" s="1758"/>
      <c r="O203" s="1759">
        <f>O31*$I$203</f>
        <v>590.21616604500014</v>
      </c>
      <c r="P203" s="1758"/>
      <c r="Q203" s="1267" t="e">
        <f>M203/#REF!</f>
        <v>#REF!</v>
      </c>
      <c r="R203" s="349"/>
    </row>
    <row r="204" spans="3:18" ht="18" hidden="1" x14ac:dyDescent="0.2">
      <c r="C204" s="889"/>
      <c r="D204" s="1228" t="s">
        <v>70</v>
      </c>
      <c r="E204" s="890"/>
      <c r="F204" s="890"/>
      <c r="G204" s="890"/>
      <c r="H204" s="890"/>
      <c r="I204" s="893"/>
      <c r="J204" s="892"/>
      <c r="K204" s="1761" t="e">
        <f>K201-K203</f>
        <v>#REF!</v>
      </c>
      <c r="L204" s="1761"/>
      <c r="M204" s="1761" t="e">
        <f>M201-M203</f>
        <v>#REF!</v>
      </c>
      <c r="N204" s="1761"/>
      <c r="O204" s="1761" t="e">
        <f>O201-O203</f>
        <v>#REF!</v>
      </c>
      <c r="P204" s="1761"/>
      <c r="Q204" s="1268" t="e">
        <f>M204/#REF!</f>
        <v>#REF!</v>
      </c>
      <c r="R204" s="349"/>
    </row>
    <row r="205" spans="3:18" ht="16.5" hidden="1" x14ac:dyDescent="0.2">
      <c r="C205" s="922"/>
      <c r="D205" s="923"/>
      <c r="E205" s="923"/>
      <c r="F205" s="923"/>
      <c r="G205" s="923"/>
      <c r="H205" s="923"/>
      <c r="I205" s="924" t="s">
        <v>58</v>
      </c>
      <c r="J205" s="925"/>
      <c r="K205" s="1770" t="e">
        <f>K204/K7</f>
        <v>#REF!</v>
      </c>
      <c r="L205" s="1770"/>
      <c r="M205" s="1770" t="e">
        <f>M204/M7</f>
        <v>#REF!</v>
      </c>
      <c r="N205" s="1770"/>
      <c r="O205" s="1770" t="e">
        <f>O204/O7</f>
        <v>#REF!</v>
      </c>
      <c r="P205" s="1770"/>
      <c r="Q205" s="1267"/>
      <c r="R205" s="349"/>
    </row>
    <row r="206" spans="3:18" ht="15.75" hidden="1" x14ac:dyDescent="0.2">
      <c r="C206" s="101"/>
      <c r="E206" s="11" t="s">
        <v>683</v>
      </c>
      <c r="G206" s="434"/>
      <c r="H206" s="434"/>
      <c r="I206" s="1216">
        <f>100%-I203</f>
        <v>0.55000000000000004</v>
      </c>
      <c r="J206" s="84" t="s">
        <v>569</v>
      </c>
      <c r="K206" s="1759">
        <f>K31*$I$206</f>
        <v>624.82849929500003</v>
      </c>
      <c r="L206" s="1759"/>
      <c r="M206" s="1758">
        <f>M31*$I$206</f>
        <v>674.37589147500023</v>
      </c>
      <c r="N206" s="1758"/>
      <c r="O206" s="1759">
        <f>O31*$I$206</f>
        <v>721.37531405500022</v>
      </c>
      <c r="P206" s="1758"/>
      <c r="Q206" s="1267" t="e">
        <f>M206/#REF!</f>
        <v>#REF!</v>
      </c>
      <c r="R206" s="349"/>
    </row>
    <row r="207" spans="3:18" ht="16.5" hidden="1" x14ac:dyDescent="0.2">
      <c r="C207" s="6"/>
      <c r="D207" s="4"/>
      <c r="E207" s="11" t="s">
        <v>79</v>
      </c>
      <c r="F207" s="11"/>
      <c r="G207" s="11"/>
      <c r="H207" s="11"/>
      <c r="I207"/>
      <c r="J207" s="94"/>
      <c r="K207" s="1759">
        <f>'FlV(a)'!$K$62</f>
        <v>483.69533333333328</v>
      </c>
      <c r="L207" s="1759"/>
      <c r="M207" s="1758">
        <f>'FlV(a)'!$M$62</f>
        <v>483.69533333333328</v>
      </c>
      <c r="N207" s="1758"/>
      <c r="O207" s="1759">
        <f>'FlV(a)'!$O$62</f>
        <v>483.69533333333328</v>
      </c>
      <c r="P207" s="1758"/>
      <c r="Q207" s="1267" t="e">
        <f>M207/#REF!</f>
        <v>#REF!</v>
      </c>
      <c r="R207" s="349"/>
    </row>
    <row r="208" spans="3:18" ht="16.5" hidden="1" x14ac:dyDescent="0.2">
      <c r="C208" s="6"/>
      <c r="D208" s="4"/>
      <c r="E208" s="67" t="s">
        <v>80</v>
      </c>
      <c r="F208" s="67"/>
      <c r="G208" s="11"/>
      <c r="H208" s="11"/>
      <c r="I208" s="94"/>
      <c r="J208" s="94"/>
      <c r="K208" s="1759">
        <f>'FlV(a)'!$K$63</f>
        <v>268.0435333333333</v>
      </c>
      <c r="L208" s="1759"/>
      <c r="M208" s="1758">
        <f>'FlV(a)'!$M$63</f>
        <v>268.0435333333333</v>
      </c>
      <c r="N208" s="1758"/>
      <c r="O208" s="1759">
        <f>'FlV(a)'!$O$63</f>
        <v>268.0435333333333</v>
      </c>
      <c r="P208" s="1758"/>
      <c r="Q208" s="1267" t="e">
        <f>M208/#REF!</f>
        <v>#REF!</v>
      </c>
      <c r="R208" s="349"/>
    </row>
    <row r="209" spans="3:18" ht="16.5" hidden="1" x14ac:dyDescent="0.2">
      <c r="C209" s="6"/>
      <c r="D209" s="4"/>
      <c r="E209" s="67" t="s">
        <v>81</v>
      </c>
      <c r="F209" s="67"/>
      <c r="G209" s="11"/>
      <c r="H209" s="11"/>
      <c r="I209" s="94"/>
      <c r="J209" s="94"/>
      <c r="K209" s="1759">
        <f>'FlV(a)'!$K$64</f>
        <v>93.12939999999999</v>
      </c>
      <c r="L209" s="1759"/>
      <c r="M209" s="1758">
        <f>'FlV(a)'!$M$64</f>
        <v>93.12939999999999</v>
      </c>
      <c r="N209" s="1758"/>
      <c r="O209" s="1759">
        <f>'FlV(a)'!$O$64</f>
        <v>93.12939999999999</v>
      </c>
      <c r="P209" s="1758"/>
      <c r="Q209" s="1267" t="e">
        <f>M209/#REF!</f>
        <v>#REF!</v>
      </c>
      <c r="R209" s="349"/>
    </row>
    <row r="210" spans="3:18" ht="16.5" hidden="1" x14ac:dyDescent="0.2">
      <c r="C210" s="6"/>
      <c r="D210" s="4"/>
      <c r="E210" s="94" t="s">
        <v>82</v>
      </c>
      <c r="F210" s="94"/>
      <c r="G210" s="98"/>
      <c r="H210" s="98"/>
      <c r="I210" s="4"/>
      <c r="J210" s="4"/>
      <c r="K210" s="1759">
        <f>'FlV(a)'!$K$65</f>
        <v>0</v>
      </c>
      <c r="L210" s="1759"/>
      <c r="M210" s="1758">
        <f>'FlV(a)'!$M$65</f>
        <v>0</v>
      </c>
      <c r="N210" s="1758"/>
      <c r="O210" s="1759">
        <f>'FlV(a)'!$O$65</f>
        <v>0</v>
      </c>
      <c r="P210" s="1758"/>
      <c r="Q210" s="1268" t="e">
        <f>M210/#REF!</f>
        <v>#REF!</v>
      </c>
      <c r="R210" s="349"/>
    </row>
    <row r="211" spans="3:18" ht="16.5" hidden="1" x14ac:dyDescent="0.2">
      <c r="C211" s="6"/>
      <c r="D211" s="4"/>
      <c r="E211" s="11" t="s">
        <v>1000</v>
      </c>
      <c r="F211" s="11"/>
      <c r="G211" s="11"/>
      <c r="H211" s="11"/>
      <c r="I211" s="94"/>
      <c r="J211" s="94"/>
      <c r="K211" s="1759">
        <f>$M$40</f>
        <v>117.60000000000001</v>
      </c>
      <c r="L211" s="1759"/>
      <c r="M211" s="1758">
        <f>Stammdaten!$P$62</f>
        <v>117.60000000000001</v>
      </c>
      <c r="N211" s="1758"/>
      <c r="O211" s="1759">
        <f>$M$40</f>
        <v>117.60000000000001</v>
      </c>
      <c r="P211" s="1758"/>
      <c r="Q211" s="1267" t="e">
        <f>M211/#REF!</f>
        <v>#REF!</v>
      </c>
      <c r="R211" s="349"/>
    </row>
    <row r="212" spans="3:18" ht="16.5" hidden="1" x14ac:dyDescent="0.2">
      <c r="C212" s="7"/>
      <c r="D212" s="5" t="s">
        <v>83</v>
      </c>
      <c r="E212" s="5"/>
      <c r="F212" s="5"/>
      <c r="G212" s="5"/>
      <c r="H212" s="5"/>
      <c r="I212" s="94"/>
      <c r="J212" s="94"/>
      <c r="K212" s="1760">
        <f>SUM(K206:K211)</f>
        <v>1587.2967659616666</v>
      </c>
      <c r="L212" s="1760"/>
      <c r="M212" s="1761">
        <f>SUM(M206:M211)</f>
        <v>1636.8441581416666</v>
      </c>
      <c r="N212" s="1761"/>
      <c r="O212" s="1760">
        <f>SUM(O206:O211)</f>
        <v>1683.8435807216667</v>
      </c>
      <c r="P212" s="1761"/>
      <c r="Q212" s="1268" t="e">
        <f>M212/#REF!</f>
        <v>#REF!</v>
      </c>
      <c r="R212" s="349"/>
    </row>
    <row r="213" spans="3:18" ht="16.5" hidden="1" x14ac:dyDescent="0.2">
      <c r="C213" s="8"/>
      <c r="D213" s="12"/>
      <c r="E213" s="12"/>
      <c r="F213" s="12"/>
      <c r="G213" s="12"/>
      <c r="H213" s="12"/>
      <c r="I213" s="99" t="s">
        <v>58</v>
      </c>
      <c r="J213" s="100"/>
      <c r="K213" s="1766">
        <f>K212/$K$7</f>
        <v>0.21163956879488888</v>
      </c>
      <c r="L213" s="1766"/>
      <c r="M213" s="1765">
        <f>M212/$M$7</f>
        <v>0.19256990095784313</v>
      </c>
      <c r="N213" s="1765"/>
      <c r="O213" s="1766">
        <f>O212/$O$7</f>
        <v>0.17724669270754387</v>
      </c>
      <c r="P213" s="1765"/>
      <c r="Q213" s="1267" t="e">
        <f>M213/#REF!</f>
        <v>#REF!</v>
      </c>
      <c r="R213" s="349"/>
    </row>
    <row r="214" spans="3:18" ht="15.75" hidden="1" x14ac:dyDescent="0.2">
      <c r="C214" s="1217"/>
      <c r="D214" s="1226" t="s">
        <v>699</v>
      </c>
      <c r="E214" s="1218"/>
      <c r="F214" s="1218"/>
      <c r="G214" s="1218"/>
      <c r="H214" s="1218"/>
      <c r="I214" s="1219"/>
      <c r="J214" s="1220"/>
      <c r="K214" s="1771" t="e">
        <f>K212/K204</f>
        <v>#REF!</v>
      </c>
      <c r="L214" s="1771"/>
      <c r="M214" s="1771" t="e">
        <f>M212/M204</f>
        <v>#REF!</v>
      </c>
      <c r="N214" s="1771"/>
      <c r="O214" s="1771" t="e">
        <f>O212/O204</f>
        <v>#REF!</v>
      </c>
      <c r="P214" s="1771"/>
      <c r="Q214" s="1267" t="e">
        <f>M214/#REF!</f>
        <v>#REF!</v>
      </c>
      <c r="R214" s="349"/>
    </row>
    <row r="215" spans="3:18" ht="15" hidden="1" x14ac:dyDescent="0.2">
      <c r="C215" s="101"/>
      <c r="D215" s="1345" t="s">
        <v>729</v>
      </c>
      <c r="E215" s="1225"/>
      <c r="J215" s="1212"/>
      <c r="K215" s="1772"/>
      <c r="L215" s="1772"/>
      <c r="M215" s="1772"/>
      <c r="N215" s="1772"/>
      <c r="O215" s="1772"/>
      <c r="P215" s="1772"/>
      <c r="Q215" s="1269" t="e">
        <f>M215/#REF!</f>
        <v>#REF!</v>
      </c>
      <c r="R215" s="349"/>
    </row>
    <row r="216" spans="3:18" ht="15" hidden="1" x14ac:dyDescent="0.2">
      <c r="C216" s="101"/>
      <c r="D216" s="1225"/>
      <c r="E216" s="1345" t="s">
        <v>684</v>
      </c>
      <c r="J216" s="1212"/>
      <c r="K216" s="1772"/>
      <c r="L216" s="1772"/>
      <c r="M216" s="1772"/>
      <c r="N216" s="1772"/>
      <c r="O216" s="1772"/>
      <c r="P216" s="1772"/>
      <c r="Q216" s="1269" t="e">
        <f>M216/#REF!</f>
        <v>#REF!</v>
      </c>
      <c r="R216" s="349"/>
    </row>
    <row r="217" spans="3:18" hidden="1" x14ac:dyDescent="0.2">
      <c r="C217" s="101"/>
      <c r="J217" s="1212"/>
      <c r="K217" s="1772"/>
      <c r="L217" s="1772"/>
      <c r="M217" s="1772"/>
      <c r="N217" s="1772"/>
      <c r="O217" s="1772"/>
      <c r="P217" s="1772"/>
      <c r="Q217" s="1269" t="e">
        <f>M217/#REF!</f>
        <v>#REF!</v>
      </c>
      <c r="R217" s="349"/>
    </row>
    <row r="218" spans="3:18" ht="27" hidden="1" x14ac:dyDescent="0.2">
      <c r="C218" s="1229" t="s">
        <v>722</v>
      </c>
      <c r="D218" s="1230"/>
      <c r="E218" s="1231"/>
      <c r="F218" s="1231"/>
      <c r="G218" s="1232"/>
      <c r="H218" s="1232"/>
      <c r="I218" s="1233"/>
      <c r="J218" s="1234"/>
      <c r="K218" s="1773"/>
      <c r="L218" s="1773"/>
      <c r="M218" s="1782"/>
      <c r="N218" s="1782"/>
      <c r="O218" s="1773"/>
      <c r="P218" s="1782"/>
      <c r="Q218" s="1269" t="e">
        <f>M218/#REF!</f>
        <v>#REF!</v>
      </c>
      <c r="R218" s="349"/>
    </row>
    <row r="219" spans="3:18" ht="16.5" hidden="1" x14ac:dyDescent="0.2">
      <c r="C219" s="1235"/>
      <c r="D219" s="1236"/>
      <c r="E219" s="1232"/>
      <c r="F219" s="1232"/>
      <c r="G219" s="1232"/>
      <c r="H219" s="1232"/>
      <c r="I219" s="1233"/>
      <c r="J219" s="1234"/>
      <c r="K219" s="1773"/>
      <c r="L219" s="1773"/>
      <c r="M219" s="1782"/>
      <c r="N219" s="1782"/>
      <c r="O219" s="1773"/>
      <c r="P219" s="1782"/>
      <c r="Q219" s="1267" t="e">
        <f>M219/#REF!</f>
        <v>#REF!</v>
      </c>
      <c r="R219" s="349"/>
    </row>
    <row r="220" spans="3:18" ht="18" hidden="1" x14ac:dyDescent="0.2">
      <c r="C220" s="1237"/>
      <c r="D220" s="1347" t="s">
        <v>731</v>
      </c>
      <c r="E220" s="1238"/>
      <c r="F220" s="1239"/>
      <c r="G220" s="1239"/>
      <c r="H220" s="1239"/>
      <c r="I220" s="1240"/>
      <c r="J220" s="1241"/>
      <c r="K220" s="1774" t="e">
        <f>K204-K212</f>
        <v>#REF!</v>
      </c>
      <c r="L220" s="1774"/>
      <c r="M220" s="1783" t="e">
        <f>M204-M212</f>
        <v>#REF!</v>
      </c>
      <c r="N220" s="1783"/>
      <c r="O220" s="1774" t="e">
        <f>O204-O212</f>
        <v>#REF!</v>
      </c>
      <c r="P220" s="1783"/>
      <c r="Q220" s="1268" t="e">
        <f>M220/#REF!</f>
        <v>#REF!</v>
      </c>
      <c r="R220" s="349" t="s">
        <v>730</v>
      </c>
    </row>
    <row r="221" spans="3:18" ht="15.75" hidden="1" x14ac:dyDescent="0.2">
      <c r="C221" s="1242"/>
      <c r="D221" s="1243"/>
      <c r="E221" s="1243"/>
      <c r="F221" s="1244" t="str">
        <f>" (100 % gekaufte Quoten zu :"&amp;Stammdaten!P54&amp;" €/kg ) "</f>
        <v xml:space="preserve"> (100 % gekaufte Quoten zu :0 €/kg ) </v>
      </c>
      <c r="G221" s="1245"/>
      <c r="H221" s="1245"/>
      <c r="I221" s="1246"/>
      <c r="J221" s="1247"/>
      <c r="K221" s="1775"/>
      <c r="L221" s="1775"/>
      <c r="M221" s="1784"/>
      <c r="N221" s="1784"/>
      <c r="O221" s="1775"/>
      <c r="P221" s="1784"/>
      <c r="Q221" s="1267" t="e">
        <f>M221/#REF!</f>
        <v>#REF!</v>
      </c>
      <c r="R221" s="349"/>
    </row>
    <row r="222" spans="3:18" ht="15.75" hidden="1" x14ac:dyDescent="0.2">
      <c r="C222" s="1248"/>
      <c r="D222" s="1249"/>
      <c r="E222" s="1249"/>
      <c r="F222" s="1348" t="s">
        <v>740</v>
      </c>
      <c r="G222" s="1349"/>
      <c r="H222" s="1349"/>
      <c r="I222" s="1233"/>
      <c r="J222" s="1234"/>
      <c r="K222" s="1776"/>
      <c r="L222" s="1776"/>
      <c r="M222" s="1785"/>
      <c r="N222" s="1785"/>
      <c r="O222" s="1776"/>
      <c r="P222" s="1785"/>
      <c r="Q222" s="1267"/>
      <c r="R222" s="349"/>
    </row>
    <row r="223" spans="3:18" ht="44.25" hidden="1" x14ac:dyDescent="0.2">
      <c r="C223" s="1248"/>
      <c r="D223" s="1249"/>
      <c r="E223" s="1249"/>
      <c r="F223" s="1250"/>
      <c r="G223" s="1232"/>
      <c r="H223" s="1232"/>
      <c r="I223" s="1233"/>
      <c r="J223" s="1234"/>
      <c r="K223" s="1262"/>
      <c r="L223" s="1262"/>
      <c r="M223" s="1785"/>
      <c r="N223" s="1785"/>
      <c r="O223" s="1776"/>
      <c r="P223" s="1785"/>
      <c r="Q223" s="1267" t="e">
        <f>M223/#REF!</f>
        <v>#REF!</v>
      </c>
      <c r="R223" s="349"/>
    </row>
    <row r="224" spans="3:18" ht="15.75" hidden="1" x14ac:dyDescent="0.2">
      <c r="C224" s="1248"/>
      <c r="D224" s="1249"/>
      <c r="E224" s="1249"/>
      <c r="F224" s="1250"/>
      <c r="G224" s="1232"/>
      <c r="H224" s="1232"/>
      <c r="I224" s="1233"/>
      <c r="J224" s="1234"/>
      <c r="K224" s="1776"/>
      <c r="L224" s="1776"/>
      <c r="M224" s="1785"/>
      <c r="N224" s="1785"/>
      <c r="O224" s="1776"/>
      <c r="P224" s="1785"/>
      <c r="Q224" s="1267" t="e">
        <f>M224/#REF!</f>
        <v>#REF!</v>
      </c>
      <c r="R224" s="349"/>
    </row>
    <row r="225" spans="3:18" ht="22.5" hidden="1" x14ac:dyDescent="0.2">
      <c r="C225" s="1248"/>
      <c r="D225" s="1251" t="s">
        <v>695</v>
      </c>
      <c r="E225" s="1232"/>
      <c r="F225" s="1232"/>
      <c r="G225" s="1232"/>
      <c r="H225" s="1232"/>
      <c r="I225" s="1233"/>
      <c r="J225" s="1234"/>
      <c r="K225" s="1773"/>
      <c r="L225" s="1773"/>
      <c r="M225" s="1782"/>
      <c r="N225" s="1782"/>
      <c r="O225" s="1773"/>
      <c r="P225" s="1782"/>
      <c r="Q225" s="1267" t="e">
        <f>M225/#REF!</f>
        <v>#REF!</v>
      </c>
      <c r="R225" s="349"/>
    </row>
    <row r="226" spans="3:18" ht="22.5" hidden="1" x14ac:dyDescent="0.2">
      <c r="C226" s="1248"/>
      <c r="D226" s="1251"/>
      <c r="E226" s="1232"/>
      <c r="F226" s="1348" t="s">
        <v>733</v>
      </c>
      <c r="G226" s="1349"/>
      <c r="H226" s="1349"/>
      <c r="I226" s="1233"/>
      <c r="J226" s="1234"/>
      <c r="K226" s="1773"/>
      <c r="L226" s="1773"/>
      <c r="M226" s="1782"/>
      <c r="N226" s="1782"/>
      <c r="O226" s="1773"/>
      <c r="P226" s="1782"/>
      <c r="Q226" s="1267"/>
      <c r="R226" s="349"/>
    </row>
    <row r="227" spans="3:18" ht="15" hidden="1" x14ac:dyDescent="0.2">
      <c r="C227" s="1248"/>
      <c r="D227" s="1249"/>
      <c r="E227" s="1232"/>
      <c r="F227" s="1250" t="s">
        <v>734</v>
      </c>
      <c r="G227" s="1232"/>
      <c r="H227" s="1232"/>
      <c r="I227" s="1233"/>
      <c r="J227" s="1234"/>
      <c r="K227" s="1773"/>
      <c r="L227" s="1773"/>
      <c r="M227" s="1782"/>
      <c r="N227" s="1782"/>
      <c r="O227" s="1773"/>
      <c r="P227" s="1782"/>
      <c r="Q227" s="1267" t="e">
        <f>M227/#REF!</f>
        <v>#REF!</v>
      </c>
      <c r="R227" s="349"/>
    </row>
    <row r="228" spans="3:18" ht="14.25" hidden="1" x14ac:dyDescent="0.2">
      <c r="C228" s="1248"/>
      <c r="D228" s="1232"/>
      <c r="E228" s="1232"/>
      <c r="F228" s="1250" t="s">
        <v>732</v>
      </c>
      <c r="G228" s="1232"/>
      <c r="H228" s="1232"/>
      <c r="I228" s="1233"/>
      <c r="J228" s="1234"/>
      <c r="K228" s="1773"/>
      <c r="L228" s="1773"/>
      <c r="M228" s="1782"/>
      <c r="N228" s="1782"/>
      <c r="O228" s="1773"/>
      <c r="P228" s="1782"/>
      <c r="Q228" s="1267" t="e">
        <f>M228/#REF!</f>
        <v>#REF!</v>
      </c>
      <c r="R228" s="349"/>
    </row>
    <row r="229" spans="3:18" ht="23.25" hidden="1" x14ac:dyDescent="0.2">
      <c r="C229" s="1248"/>
      <c r="D229" s="1232"/>
      <c r="E229" s="1249"/>
      <c r="F229" s="1232"/>
      <c r="G229" s="1271">
        <v>40</v>
      </c>
      <c r="H229" s="1271"/>
      <c r="I229" s="1272" t="s">
        <v>961</v>
      </c>
      <c r="J229" s="1234"/>
      <c r="K229" s="1786" t="e">
        <f>K204-K206-K207-K208-K209-K211-(K210*$G$229)/100</f>
        <v>#REF!</v>
      </c>
      <c r="L229" s="1786"/>
      <c r="M229" s="1787" t="e">
        <f>M204-M206-M207-M208-M209-M211-(M210*$G$229)/100</f>
        <v>#REF!</v>
      </c>
      <c r="N229" s="1787"/>
      <c r="O229" s="1786" t="e">
        <f>O204-O206-O207-O208-O209-O211-(O210*$G$229)/100</f>
        <v>#REF!</v>
      </c>
      <c r="P229" s="1787"/>
      <c r="Q229" s="1268" t="e">
        <f>M229/#REF!</f>
        <v>#REF!</v>
      </c>
      <c r="R229" s="349" t="s">
        <v>730</v>
      </c>
    </row>
    <row r="230" spans="3:18" hidden="1" x14ac:dyDescent="0.2">
      <c r="C230" s="1252"/>
      <c r="D230" s="1253"/>
      <c r="E230" s="1254" t="str">
        <f>"(z.B.hier: " &amp;G229&amp;" %  der gesamten Quote werden auf  "&amp;Stammdaten!P55&amp; "  Jahre (!)abgeschrieben und verzinst)"</f>
        <v>(z.B.hier: 40 %  der gesamten Quote werden auf  0  Jahre (!)abgeschrieben und verzinst)</v>
      </c>
      <c r="F230" s="1253"/>
      <c r="G230" s="1253"/>
      <c r="H230" s="1253"/>
      <c r="I230" s="1255"/>
      <c r="J230" s="1256"/>
      <c r="K230" s="1778"/>
      <c r="L230" s="1778"/>
      <c r="M230" s="1788"/>
      <c r="N230" s="1788"/>
      <c r="O230" s="1778"/>
      <c r="P230" s="1788"/>
      <c r="Q230" s="1273" t="e">
        <f>M230/#REF!</f>
        <v>#REF!</v>
      </c>
      <c r="R230" s="309"/>
    </row>
    <row r="231" spans="3:18" hidden="1" x14ac:dyDescent="0.2">
      <c r="C231" s="1257"/>
      <c r="D231" s="1257"/>
      <c r="E231" s="1257"/>
      <c r="F231" s="1257"/>
      <c r="G231" s="1257"/>
      <c r="H231" s="1257"/>
      <c r="I231" s="1257"/>
      <c r="J231" s="1257"/>
      <c r="K231" s="1779"/>
      <c r="L231" s="1779"/>
      <c r="M231" s="1779"/>
      <c r="N231" s="1779"/>
      <c r="O231" s="1779"/>
      <c r="P231" s="1779"/>
      <c r="R231" s="534" t="s">
        <v>746</v>
      </c>
    </row>
    <row r="232" spans="3:18" ht="24.75" hidden="1" x14ac:dyDescent="0.2">
      <c r="C232" s="1258"/>
      <c r="D232" s="1343" t="s">
        <v>685</v>
      </c>
      <c r="E232" s="1259"/>
      <c r="F232" s="1259"/>
      <c r="G232" s="1261" t="s">
        <v>694</v>
      </c>
      <c r="H232" s="1261"/>
      <c r="I232" s="1260"/>
      <c r="J232" s="1260"/>
      <c r="K232" s="1789" t="e">
        <f>K229/K34</f>
        <v>#REF!</v>
      </c>
      <c r="L232" s="1789"/>
      <c r="M232" s="1790" t="e">
        <f>M229/M34</f>
        <v>#REF!</v>
      </c>
      <c r="N232" s="1790"/>
      <c r="O232" s="1789" t="e">
        <f>O229/O34</f>
        <v>#REF!</v>
      </c>
      <c r="P232" s="1790"/>
      <c r="R232" s="534" t="s">
        <v>747</v>
      </c>
    </row>
    <row r="233" spans="3:18" ht="44.25" hidden="1" x14ac:dyDescent="0.2">
      <c r="C233" s="1217"/>
      <c r="D233" s="1263" t="s">
        <v>697</v>
      </c>
      <c r="E233" s="1218"/>
      <c r="F233" s="1218"/>
      <c r="G233" s="1218"/>
      <c r="H233" s="1218"/>
      <c r="I233" s="1219"/>
      <c r="J233" s="1219"/>
      <c r="K233" s="1264" t="e">
        <f>IF(K232&lt;0,"N",IF(K232&lt;Stammdaten!$P$39,"L",IF(K232&gt;Stammdaten!$P$39,"J",)))</f>
        <v>#REF!</v>
      </c>
      <c r="L233" s="1264"/>
      <c r="M233" s="1264" t="e">
        <f>IF(M232&lt;0,"N",IF(M232&lt;Stammdaten!$P$39,"L",IF(M232&gt;Stammdaten!$P$39,"J",)))</f>
        <v>#REF!</v>
      </c>
      <c r="N233" s="1264"/>
      <c r="O233" s="1264" t="e">
        <f>IF(O232&lt;0,"N",IF(O232&lt;Stammdaten!$P$39,"L",IF(O232&gt;Stammdaten!$P$39,"J",)))</f>
        <v>#REF!</v>
      </c>
      <c r="P233" s="1264"/>
      <c r="R233" s="1193"/>
    </row>
    <row r="234" spans="3:18" ht="44.25" hidden="1" x14ac:dyDescent="0.2">
      <c r="C234" s="1217"/>
      <c r="D234" s="1218"/>
      <c r="E234" s="1218"/>
      <c r="F234" s="1218"/>
      <c r="G234" s="1218"/>
      <c r="H234" s="1218"/>
      <c r="I234" s="1219"/>
      <c r="J234" s="1220"/>
      <c r="K234" s="1265" t="e">
        <f>IF(K232&lt;0,"U",IF(K232&lt;Stammdaten!$P$39,"F",IF(K232&gt;Stammdaten!$P$39,"J",)))</f>
        <v>#REF!</v>
      </c>
      <c r="L234" s="1265"/>
      <c r="M234" s="1265" t="e">
        <f>IF(M232&lt;0,"U",IF(M232&lt;Stammdaten!$P$39,"F",IF(M232&gt;Stammdaten!$P$39,"J",)))</f>
        <v>#REF!</v>
      </c>
      <c r="N234" s="1265"/>
      <c r="O234" s="1265" t="e">
        <f>IF(O232&lt;0,"U",IF(O232&lt;Stammdaten!$P$39,"F",IF(O232&gt;Stammdaten!$P$39,"J",)))</f>
        <v>#REF!</v>
      </c>
      <c r="P234" s="1265"/>
      <c r="R234" s="1193"/>
    </row>
    <row r="235" spans="3:18" hidden="1" x14ac:dyDescent="0.2">
      <c r="R235" s="1193"/>
    </row>
    <row r="236" spans="3:18" hidden="1" x14ac:dyDescent="0.2"/>
    <row r="237" spans="3:18" hidden="1" x14ac:dyDescent="0.2"/>
    <row r="238" spans="3:18" hidden="1" x14ac:dyDescent="0.2">
      <c r="E238" s="3" t="s">
        <v>768</v>
      </c>
    </row>
    <row r="239" spans="3:18" hidden="1" x14ac:dyDescent="0.2"/>
    <row r="240" spans="3:18" hidden="1" x14ac:dyDescent="0.2">
      <c r="I240" s="84" t="s">
        <v>776</v>
      </c>
    </row>
    <row r="241" spans="5:11" hidden="1" x14ac:dyDescent="0.2"/>
    <row r="242" spans="5:11" hidden="1" x14ac:dyDescent="0.2">
      <c r="E242" s="3" t="s">
        <v>103</v>
      </c>
      <c r="I242" s="84">
        <v>39.97</v>
      </c>
    </row>
    <row r="243" spans="5:11" hidden="1" x14ac:dyDescent="0.2">
      <c r="E243" s="3" t="s">
        <v>769</v>
      </c>
      <c r="I243" s="84">
        <v>20.440000000000001</v>
      </c>
    </row>
    <row r="244" spans="5:11" hidden="1" x14ac:dyDescent="0.2">
      <c r="E244" s="3" t="s">
        <v>770</v>
      </c>
      <c r="I244" s="84">
        <v>18.53</v>
      </c>
    </row>
    <row r="245" spans="5:11" hidden="1" x14ac:dyDescent="0.2">
      <c r="E245" s="3" t="s">
        <v>772</v>
      </c>
      <c r="I245" s="84">
        <v>12.45</v>
      </c>
    </row>
    <row r="246" spans="5:11" hidden="1" x14ac:dyDescent="0.2">
      <c r="E246" s="3" t="s">
        <v>773</v>
      </c>
      <c r="I246" s="84">
        <v>4.87</v>
      </c>
      <c r="K246" s="1192" t="s">
        <v>777</v>
      </c>
    </row>
    <row r="247" spans="5:11" hidden="1" x14ac:dyDescent="0.2">
      <c r="E247" s="3" t="s">
        <v>774</v>
      </c>
      <c r="I247" s="84">
        <v>2.48</v>
      </c>
    </row>
    <row r="248" spans="5:11" hidden="1" x14ac:dyDescent="0.2">
      <c r="E248" s="3" t="s">
        <v>775</v>
      </c>
      <c r="I248" s="84">
        <v>1.75</v>
      </c>
    </row>
    <row r="249" spans="5:11" hidden="1" x14ac:dyDescent="0.2"/>
    <row r="250" spans="5:11" hidden="1" x14ac:dyDescent="0.2"/>
  </sheetData>
  <sheetProtection sheet="1" objects="1" scenarios="1"/>
  <mergeCells count="17">
    <mergeCell ref="AB29:AC29"/>
    <mergeCell ref="B26:B30"/>
    <mergeCell ref="B17:B23"/>
    <mergeCell ref="M8:N8"/>
    <mergeCell ref="X29:Y29"/>
    <mergeCell ref="O8:P8"/>
    <mergeCell ref="B10:B14"/>
    <mergeCell ref="Z29:AA29"/>
    <mergeCell ref="B46:B69"/>
    <mergeCell ref="K6:L6"/>
    <mergeCell ref="K8:L8"/>
    <mergeCell ref="M6:N6"/>
    <mergeCell ref="O6:P6"/>
    <mergeCell ref="K7:L7"/>
    <mergeCell ref="M7:N7"/>
    <mergeCell ref="O7:P7"/>
    <mergeCell ref="B34:B41"/>
  </mergeCells>
  <phoneticPr fontId="0" type="noConversion"/>
  <conditionalFormatting sqref="K233:O234">
    <cfRule type="expression" dxfId="1" priority="5" stopIfTrue="1">
      <formula>K232&lt;0</formula>
    </cfRule>
  </conditionalFormatting>
  <hyperlinks>
    <hyperlink ref="E198" location="D51" display="L"/>
  </hyperlinks>
  <printOptions horizontalCentered="1"/>
  <pageMargins left="0.39370078740157483" right="0.39370078740157483" top="0.47244094488188981" bottom="0.74803149606299213" header="0.19685039370078741" footer="0.35433070866141736"/>
  <pageSetup paperSize="9" scale="62" firstPageNumber="23" orientation="portrait" useFirstPageNumber="1" r:id="rId1"/>
  <headerFooter alignWithMargins="0">
    <oddFooter>&amp;LLEL Schwäbisch Gmünd
&amp;D&amp;C&amp;"Arial,Fett"&amp;12&amp;P&amp;RKalkulationsdaten Milchviehhaltung;
&amp;F  &amp;A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1" tint="0.34998626667073579"/>
  </sheetPr>
  <dimension ref="A1:U138"/>
  <sheetViews>
    <sheetView showGridLines="0" zoomScaleNormal="100" workbookViewId="0">
      <pane xSplit="2" ySplit="1" topLeftCell="C62" activePane="bottomRight" state="frozen"/>
      <selection activeCell="Q66" sqref="Q66"/>
      <selection pane="topRight" activeCell="Q66" sqref="Q66"/>
      <selection pane="bottomLeft" activeCell="Q66" sqref="Q66"/>
      <selection pane="bottomRight" activeCell="D4" sqref="D4"/>
    </sheetView>
  </sheetViews>
  <sheetFormatPr baseColWidth="10" defaultColWidth="6.28515625" defaultRowHeight="23.25" x14ac:dyDescent="0.2"/>
  <cols>
    <col min="1" max="1" width="2.7109375" style="301" customWidth="1"/>
    <col min="2" max="2" width="1.7109375" style="301" customWidth="1"/>
    <col min="3" max="4" width="6.28515625" style="301" customWidth="1"/>
    <col min="5" max="5" width="11.140625" style="301" customWidth="1"/>
    <col min="6" max="6" width="3.85546875" style="301" customWidth="1"/>
    <col min="7" max="7" width="4" style="301" customWidth="1"/>
    <col min="8" max="11" width="6.28515625" style="301" customWidth="1"/>
    <col min="12" max="12" width="6.140625" style="301" customWidth="1"/>
    <col min="13" max="13" width="7" style="301" customWidth="1"/>
    <col min="14" max="14" width="2.28515625" style="301" customWidth="1"/>
    <col min="15" max="15" width="6.28515625" style="301" customWidth="1"/>
    <col min="16" max="16" width="8.7109375" style="301" customWidth="1"/>
    <col min="17" max="19" width="13.7109375" style="301" customWidth="1"/>
    <col min="20" max="20" width="1.42578125" style="301" customWidth="1"/>
    <col min="21" max="21" width="2.85546875" style="301" customWidth="1"/>
    <col min="22" max="16384" width="6.28515625" style="301"/>
  </cols>
  <sheetData>
    <row r="1" spans="1:21" ht="22.15" customHeight="1" x14ac:dyDescent="0.2">
      <c r="A1" s="2503"/>
      <c r="B1" s="2503"/>
      <c r="C1" s="2503"/>
      <c r="D1" s="2503"/>
      <c r="E1" s="2503"/>
      <c r="F1" s="2503"/>
      <c r="G1" s="2503"/>
      <c r="H1" s="2503"/>
      <c r="I1" s="2503"/>
      <c r="J1" s="2503"/>
      <c r="K1" s="2503"/>
      <c r="L1" s="2503"/>
      <c r="M1" s="2503"/>
      <c r="N1" s="2503"/>
      <c r="O1" s="2503"/>
      <c r="P1" s="2503"/>
      <c r="Q1" s="2503"/>
      <c r="R1" s="2503"/>
      <c r="S1" s="2503"/>
      <c r="T1" s="2503"/>
      <c r="U1" s="2503"/>
    </row>
    <row r="2" spans="1:21" ht="5.25" customHeight="1" x14ac:dyDescent="0.2">
      <c r="A2" s="2503"/>
      <c r="U2" s="2503"/>
    </row>
    <row r="3" spans="1:21" ht="30.2" customHeight="1" x14ac:dyDescent="0.2">
      <c r="A3" s="2503"/>
      <c r="B3" s="3075"/>
      <c r="C3" s="3076" t="s">
        <v>94</v>
      </c>
      <c r="D3" s="3076" t="s">
        <v>57</v>
      </c>
      <c r="E3" s="3077"/>
      <c r="F3" s="3077"/>
      <c r="G3" s="3077"/>
      <c r="H3" s="3077"/>
      <c r="I3" s="3077"/>
      <c r="J3" s="3077"/>
      <c r="K3" s="3077"/>
      <c r="L3" s="3077"/>
      <c r="M3" s="3077"/>
      <c r="N3" s="3077"/>
      <c r="O3" s="3077"/>
      <c r="P3" s="3077"/>
      <c r="Q3" s="3078"/>
      <c r="R3" s="3079"/>
      <c r="S3" s="3080" t="str">
        <f>'Sbt(b)'!P2</f>
        <v>Milchkuh; Holstein-Sbt.</v>
      </c>
      <c r="T3" s="3807"/>
      <c r="U3" s="2503"/>
    </row>
    <row r="4" spans="1:21" x14ac:dyDescent="0.2">
      <c r="A4" s="2503"/>
      <c r="B4" s="3081"/>
      <c r="C4" s="3082" t="s">
        <v>95</v>
      </c>
      <c r="D4" s="3082" t="s">
        <v>96</v>
      </c>
      <c r="E4" s="3083"/>
      <c r="F4" s="3083"/>
      <c r="G4" s="3083"/>
      <c r="H4" s="3083"/>
      <c r="I4" s="3083"/>
      <c r="J4" s="3083"/>
      <c r="K4" s="3083"/>
      <c r="L4" s="3083"/>
      <c r="M4" s="3083"/>
      <c r="N4" s="3083"/>
      <c r="O4" s="3083"/>
      <c r="P4" s="3083"/>
      <c r="Q4" s="3084" t="s">
        <v>97</v>
      </c>
      <c r="R4" s="3085"/>
      <c r="S4" s="3086">
        <f>'Sbt(b)'!P4</f>
        <v>2022</v>
      </c>
      <c r="T4" s="3808"/>
      <c r="U4" s="2503"/>
    </row>
    <row r="5" spans="1:21" s="4" customFormat="1" ht="12.2" customHeight="1" x14ac:dyDescent="0.2">
      <c r="A5" s="2503"/>
      <c r="B5" s="323"/>
      <c r="C5" s="20"/>
      <c r="D5" s="20"/>
      <c r="E5" s="20"/>
      <c r="F5" s="20"/>
      <c r="G5" s="20"/>
      <c r="H5" s="20"/>
      <c r="I5" s="20"/>
      <c r="J5" s="20"/>
      <c r="K5" s="20"/>
      <c r="L5" s="20"/>
      <c r="M5" s="20"/>
      <c r="N5" s="20"/>
      <c r="O5" s="20"/>
      <c r="P5" s="20"/>
      <c r="Q5" s="20"/>
      <c r="R5" s="20"/>
      <c r="S5" s="20"/>
      <c r="T5" s="309"/>
      <c r="U5" s="2503"/>
    </row>
    <row r="6" spans="1:21" ht="30.2" customHeight="1" x14ac:dyDescent="0.2">
      <c r="A6" s="2503"/>
      <c r="B6" s="898"/>
      <c r="C6" s="899" t="s">
        <v>1077</v>
      </c>
      <c r="D6" s="900"/>
      <c r="E6" s="900"/>
      <c r="F6" s="900"/>
      <c r="G6" s="900"/>
      <c r="H6" s="900"/>
      <c r="I6" s="900"/>
      <c r="J6" s="900"/>
      <c r="K6" s="900"/>
      <c r="L6" s="900"/>
      <c r="M6" s="900"/>
      <c r="N6" s="900"/>
      <c r="O6" s="901" t="s">
        <v>98</v>
      </c>
      <c r="P6" s="902"/>
      <c r="Q6" s="903">
        <f>'Sbt(b)'!K7</f>
        <v>7500</v>
      </c>
      <c r="R6" s="903">
        <f>'Sbt(b)'!M7</f>
        <v>8500</v>
      </c>
      <c r="S6" s="903">
        <f>'Sbt(b)'!O7</f>
        <v>9500</v>
      </c>
      <c r="T6" s="902"/>
      <c r="U6" s="2503"/>
    </row>
    <row r="7" spans="1:21" ht="30.2" customHeight="1" x14ac:dyDescent="0.2">
      <c r="A7" s="2503"/>
      <c r="B7" s="904"/>
      <c r="C7" s="905" t="str">
        <f>IF(Stammdaten!S7=1,"Milchpreis (ohne Mwst.)","Milchpreis  (inkl. Mwst. )")</f>
        <v>Milchpreis  (inkl. Mwst. )</v>
      </c>
      <c r="D7" s="906"/>
      <c r="E7" s="906"/>
      <c r="F7" s="906"/>
      <c r="G7" s="906"/>
      <c r="H7" s="906"/>
      <c r="I7" s="906"/>
      <c r="J7" s="906"/>
      <c r="K7" s="906"/>
      <c r="L7" s="906"/>
      <c r="M7" s="906"/>
      <c r="N7" s="906"/>
      <c r="O7" s="904" t="s">
        <v>99</v>
      </c>
      <c r="P7" s="907"/>
      <c r="Q7" s="912">
        <f>'Sbt(b)'!K8</f>
        <v>0.45004499999999997</v>
      </c>
      <c r="R7" s="912">
        <f>'Sbt(b)'!M8</f>
        <v>0.45004499999999997</v>
      </c>
      <c r="S7" s="912">
        <f>'Sbt(b)'!O8</f>
        <v>0.45004499999999997</v>
      </c>
      <c r="T7" s="907"/>
      <c r="U7" s="2503"/>
    </row>
    <row r="8" spans="1:21" ht="15" customHeight="1" x14ac:dyDescent="0.2">
      <c r="A8" s="2503"/>
      <c r="B8" s="315"/>
      <c r="C8" s="331"/>
      <c r="D8" s="331"/>
      <c r="E8" s="331"/>
      <c r="F8" s="331"/>
      <c r="G8" s="331"/>
      <c r="H8" s="331"/>
      <c r="I8" s="331"/>
      <c r="J8" s="331"/>
      <c r="K8" s="331"/>
      <c r="L8" s="331"/>
      <c r="M8" s="331"/>
      <c r="N8" s="331"/>
      <c r="O8" s="315"/>
      <c r="P8" s="317"/>
      <c r="Q8" s="331"/>
      <c r="R8" s="331"/>
      <c r="S8" s="331"/>
      <c r="T8" s="336"/>
      <c r="U8" s="2503"/>
    </row>
    <row r="9" spans="1:21" ht="30.2" customHeight="1" x14ac:dyDescent="0.2">
      <c r="A9" s="2503"/>
      <c r="B9" s="302"/>
      <c r="C9" s="303" t="s">
        <v>100</v>
      </c>
      <c r="D9" s="303"/>
      <c r="E9" s="303"/>
      <c r="F9" s="303"/>
      <c r="G9" s="303"/>
      <c r="H9" s="303"/>
      <c r="I9" s="303"/>
      <c r="J9" s="303"/>
      <c r="K9" s="303"/>
      <c r="L9" s="303"/>
      <c r="M9" s="303"/>
      <c r="N9" s="303"/>
      <c r="O9" s="302" t="s">
        <v>101</v>
      </c>
      <c r="P9" s="304"/>
      <c r="Q9" s="332">
        <f>'Sbt(b)'!K10</f>
        <v>3375.3374999999996</v>
      </c>
      <c r="R9" s="332">
        <f>'Sbt(b)'!M10</f>
        <v>3825.3824999999997</v>
      </c>
      <c r="S9" s="332">
        <f>'Sbt(b)'!O10</f>
        <v>4275.4274999999998</v>
      </c>
      <c r="T9" s="300"/>
      <c r="U9" s="2503"/>
    </row>
    <row r="10" spans="1:21" ht="30.2" customHeight="1" x14ac:dyDescent="0.2">
      <c r="A10" s="2503"/>
      <c r="B10" s="302"/>
      <c r="C10" s="303" t="s">
        <v>102</v>
      </c>
      <c r="D10" s="303"/>
      <c r="E10" s="303"/>
      <c r="F10" s="303"/>
      <c r="G10" s="303"/>
      <c r="H10" s="303"/>
      <c r="I10" s="303"/>
      <c r="J10" s="303"/>
      <c r="K10" s="303"/>
      <c r="L10" s="303"/>
      <c r="M10" s="303"/>
      <c r="N10" s="303"/>
      <c r="O10" s="302"/>
      <c r="P10" s="304"/>
      <c r="Q10" s="332">
        <f>'Sbt(b)'!K11+'Sbt(b)'!K12+'Sbt(b)'!K13+'Sbt(b)'!K27</f>
        <v>892.17073333333337</v>
      </c>
      <c r="R10" s="332">
        <f>'Sbt(b)'!M11+'Sbt(b)'!M12+'Sbt(b)'!M13+'Sbt(b)'!M27</f>
        <v>899.46047500000009</v>
      </c>
      <c r="S10" s="332">
        <f>'Sbt(b)'!O11+'Sbt(b)'!O12+'Sbt(b)'!O13+'Sbt(b)'!O27</f>
        <v>906.7502166666668</v>
      </c>
      <c r="T10" s="300"/>
      <c r="U10" s="2503"/>
    </row>
    <row r="11" spans="1:21" ht="36" customHeight="1" x14ac:dyDescent="0.2">
      <c r="A11" s="2503"/>
      <c r="B11" s="316"/>
      <c r="C11" s="313" t="s">
        <v>103</v>
      </c>
      <c r="D11" s="306"/>
      <c r="E11" s="306"/>
      <c r="F11" s="306"/>
      <c r="G11" s="306"/>
      <c r="H11" s="306"/>
      <c r="I11" s="306"/>
      <c r="J11" s="306"/>
      <c r="K11" s="306"/>
      <c r="L11" s="306"/>
      <c r="M11" s="306"/>
      <c r="N11" s="306"/>
      <c r="O11" s="316"/>
      <c r="P11" s="320"/>
      <c r="Q11" s="335">
        <f>Q9+Q10</f>
        <v>4267.508233333333</v>
      </c>
      <c r="R11" s="335">
        <f>R9+R10</f>
        <v>4724.8429749999996</v>
      </c>
      <c r="S11" s="335">
        <f>S9+S10</f>
        <v>5182.177716666667</v>
      </c>
      <c r="T11" s="25"/>
      <c r="U11" s="2503"/>
    </row>
    <row r="12" spans="1:21" ht="30.2" customHeight="1" x14ac:dyDescent="0.2">
      <c r="A12" s="2503"/>
      <c r="B12" s="302"/>
      <c r="C12" s="303" t="s">
        <v>1086</v>
      </c>
      <c r="D12" s="303"/>
      <c r="E12" s="303"/>
      <c r="F12" s="303"/>
      <c r="G12" s="303"/>
      <c r="H12" s="303"/>
      <c r="I12" s="303"/>
      <c r="J12" s="303"/>
      <c r="K12" s="303"/>
      <c r="L12" s="303"/>
      <c r="M12" s="303"/>
      <c r="N12" s="303"/>
      <c r="O12" s="302"/>
      <c r="P12" s="304"/>
      <c r="Q12" s="332">
        <f>'Sbt(b)'!K17</f>
        <v>657</v>
      </c>
      <c r="R12" s="332">
        <f>'Sbt(b)'!M17</f>
        <v>657</v>
      </c>
      <c r="S12" s="332">
        <f>'Sbt(b)'!O17</f>
        <v>657</v>
      </c>
      <c r="T12" s="300"/>
      <c r="U12" s="2503"/>
    </row>
    <row r="13" spans="1:21" ht="30.2" customHeight="1" x14ac:dyDescent="0.2">
      <c r="A13" s="2503"/>
      <c r="B13" s="302"/>
      <c r="C13" s="303" t="s">
        <v>104</v>
      </c>
      <c r="D13" s="303"/>
      <c r="E13" s="303"/>
      <c r="F13" s="303"/>
      <c r="G13" s="303"/>
      <c r="H13" s="303"/>
      <c r="I13" s="303"/>
      <c r="J13" s="303"/>
      <c r="K13" s="303"/>
      <c r="L13" s="303"/>
      <c r="M13" s="303"/>
      <c r="N13" s="303"/>
      <c r="O13" s="302"/>
      <c r="P13" s="304"/>
      <c r="Q13" s="332">
        <f>'Sbt(b)'!K18</f>
        <v>855.68350000000009</v>
      </c>
      <c r="R13" s="332">
        <f>'Sbt(b)'!M18</f>
        <v>904.91600000000017</v>
      </c>
      <c r="S13" s="332">
        <f>'Sbt(b)'!O18</f>
        <v>954.14850000000013</v>
      </c>
      <c r="T13" s="300"/>
      <c r="U13" s="2503"/>
    </row>
    <row r="14" spans="1:21" ht="30.2" customHeight="1" x14ac:dyDescent="0.2">
      <c r="A14" s="2503"/>
      <c r="B14" s="302"/>
      <c r="C14" s="303" t="s">
        <v>140</v>
      </c>
      <c r="D14" s="303"/>
      <c r="E14" s="303"/>
      <c r="F14" s="303"/>
      <c r="G14" s="303"/>
      <c r="H14" s="303"/>
      <c r="I14" s="303"/>
      <c r="J14" s="303"/>
      <c r="K14" s="303"/>
      <c r="L14" s="303"/>
      <c r="M14" s="303"/>
      <c r="N14" s="303"/>
      <c r="O14" s="302"/>
      <c r="P14" s="304"/>
      <c r="Q14" s="332">
        <f>'Sbt(b)'!K19+'Sbt(b)'!K20+'Sbt(b)'!K22+'Sbt(b)'!K21+'Sbt(b)'!K28</f>
        <v>651.03703588333326</v>
      </c>
      <c r="R14" s="332">
        <f>'Sbt(b)'!M19+'Sbt(b)'!M20+'Sbt(b)'!M22+'Sbt(b)'!M21+'Sbt(b)'!M28</f>
        <v>690.70461548333344</v>
      </c>
      <c r="S14" s="332">
        <f>'Sbt(b)'!O19+'Sbt(b)'!O20+'Sbt(b)'!O22+'Sbt(b)'!O21+'Sbt(b)'!O28</f>
        <v>1856.9721950833332</v>
      </c>
      <c r="T14" s="300"/>
      <c r="U14" s="2503"/>
    </row>
    <row r="15" spans="1:21" ht="36" customHeight="1" x14ac:dyDescent="0.2">
      <c r="A15" s="2503"/>
      <c r="B15" s="316"/>
      <c r="C15" s="313" t="s">
        <v>105</v>
      </c>
      <c r="D15" s="306"/>
      <c r="E15" s="306"/>
      <c r="F15" s="306"/>
      <c r="G15" s="306"/>
      <c r="H15" s="306"/>
      <c r="I15" s="306"/>
      <c r="J15" s="306"/>
      <c r="K15" s="306"/>
      <c r="L15" s="306"/>
      <c r="M15" s="306"/>
      <c r="N15" s="306"/>
      <c r="O15" s="316"/>
      <c r="P15" s="320"/>
      <c r="Q15" s="335">
        <f>SUM(Q12:Q14)</f>
        <v>2163.7205358833335</v>
      </c>
      <c r="R15" s="335">
        <f>SUM(R12:R14)</f>
        <v>2252.6206154833335</v>
      </c>
      <c r="S15" s="335">
        <f>SUM(S12:S14)</f>
        <v>3468.1206950833334</v>
      </c>
      <c r="T15" s="25"/>
      <c r="U15" s="2503"/>
    </row>
    <row r="16" spans="1:21" ht="39.75" customHeight="1" x14ac:dyDescent="0.2">
      <c r="A16" s="2503"/>
      <c r="B16" s="315"/>
      <c r="C16" s="337" t="s">
        <v>252</v>
      </c>
      <c r="D16" s="331"/>
      <c r="E16" s="331"/>
      <c r="F16" s="331"/>
      <c r="G16" s="331"/>
      <c r="H16" s="331"/>
      <c r="I16" s="331"/>
      <c r="J16" s="331"/>
      <c r="K16" s="331"/>
      <c r="L16" s="331"/>
      <c r="M16" s="331"/>
      <c r="N16" s="331"/>
      <c r="O16" s="315"/>
      <c r="P16" s="317"/>
      <c r="Q16" s="338">
        <f>Q11-Q15</f>
        <v>2103.7876974499995</v>
      </c>
      <c r="R16" s="338">
        <f>R11-R15</f>
        <v>2472.2223595166661</v>
      </c>
      <c r="S16" s="338">
        <f>S11-S15</f>
        <v>1714.0570215833336</v>
      </c>
      <c r="T16" s="336"/>
      <c r="U16" s="2503"/>
    </row>
    <row r="17" spans="1:21" ht="24" customHeight="1" x14ac:dyDescent="0.2">
      <c r="A17" s="2503"/>
      <c r="B17" s="302"/>
      <c r="C17" s="303" t="s">
        <v>626</v>
      </c>
      <c r="D17" s="303"/>
      <c r="E17" s="303"/>
      <c r="F17" s="303"/>
      <c r="G17" s="303"/>
      <c r="H17" s="303"/>
      <c r="I17" s="303"/>
      <c r="J17" s="303"/>
      <c r="K17" s="303"/>
      <c r="L17" s="303"/>
      <c r="M17" s="303"/>
      <c r="N17" s="303"/>
      <c r="O17" s="302"/>
      <c r="P17" s="304"/>
      <c r="Q17" s="332">
        <f>'Sbt(b)'!K31</f>
        <v>1136.0518168999999</v>
      </c>
      <c r="R17" s="332">
        <f>'Sbt(b)'!M31</f>
        <v>1226.1379845000004</v>
      </c>
      <c r="S17" s="332">
        <f>'Sbt(b)'!O31</f>
        <v>1311.5914801000004</v>
      </c>
      <c r="T17" s="304"/>
      <c r="U17" s="2503"/>
    </row>
    <row r="18" spans="1:21" ht="30.75" customHeight="1" x14ac:dyDescent="0.2">
      <c r="A18" s="2503"/>
      <c r="B18" s="316"/>
      <c r="C18" s="314" t="s">
        <v>253</v>
      </c>
      <c r="D18" s="306"/>
      <c r="E18" s="306"/>
      <c r="F18" s="306"/>
      <c r="G18" s="306"/>
      <c r="H18" s="306"/>
      <c r="I18" s="306"/>
      <c r="J18" s="306"/>
      <c r="K18" s="306"/>
      <c r="L18" s="306"/>
      <c r="M18" s="306"/>
      <c r="N18" s="306"/>
      <c r="O18" s="316"/>
      <c r="P18" s="320"/>
      <c r="Q18" s="339">
        <f>Q16-Q17</f>
        <v>967.73588054999959</v>
      </c>
      <c r="R18" s="339">
        <f>R16-R17</f>
        <v>1246.0843750166657</v>
      </c>
      <c r="S18" s="339">
        <f>S16-S17</f>
        <v>402.46554148333325</v>
      </c>
      <c r="T18" s="320"/>
      <c r="U18" s="2503"/>
    </row>
    <row r="19" spans="1:21" ht="15" customHeight="1" x14ac:dyDescent="0.2">
      <c r="A19" s="2503"/>
      <c r="U19" s="2503"/>
    </row>
    <row r="20" spans="1:21" ht="12.2" customHeight="1" x14ac:dyDescent="0.2">
      <c r="A20" s="2503"/>
      <c r="U20" s="2503"/>
    </row>
    <row r="21" spans="1:21" ht="28.5" customHeight="1" x14ac:dyDescent="0.2">
      <c r="A21" s="2503"/>
      <c r="B21" s="3075"/>
      <c r="C21" s="3087" t="s">
        <v>131</v>
      </c>
      <c r="D21" s="3088" t="s">
        <v>57</v>
      </c>
      <c r="E21" s="3089"/>
      <c r="F21" s="3089"/>
      <c r="G21" s="3089"/>
      <c r="H21" s="3089"/>
      <c r="I21" s="3089"/>
      <c r="J21" s="3089"/>
      <c r="K21" s="3089"/>
      <c r="L21" s="3089"/>
      <c r="M21" s="3089"/>
      <c r="N21" s="3089"/>
      <c r="O21" s="3089"/>
      <c r="P21" s="3089"/>
      <c r="Q21" s="3090"/>
      <c r="R21" s="3091"/>
      <c r="S21" s="3092" t="str">
        <f>'Sbt(b)'!P2</f>
        <v>Milchkuh; Holstein-Sbt.</v>
      </c>
      <c r="T21" s="3807"/>
      <c r="U21" s="2503"/>
    </row>
    <row r="22" spans="1:21" ht="23.25" customHeight="1" x14ac:dyDescent="0.2">
      <c r="A22" s="2503"/>
      <c r="B22" s="3081"/>
      <c r="C22" s="3093" t="s">
        <v>95</v>
      </c>
      <c r="D22" s="3094" t="s">
        <v>132</v>
      </c>
      <c r="E22" s="3095"/>
      <c r="F22" s="3095"/>
      <c r="G22" s="3095"/>
      <c r="H22" s="3095"/>
      <c r="I22" s="3095"/>
      <c r="J22" s="3095"/>
      <c r="K22" s="3095"/>
      <c r="L22" s="3095"/>
      <c r="M22" s="3095"/>
      <c r="N22" s="3095"/>
      <c r="O22" s="3095"/>
      <c r="P22" s="3095"/>
      <c r="Q22" s="3096" t="str">
        <f>Q4</f>
        <v xml:space="preserve">  Kalenderjahr:</v>
      </c>
      <c r="R22" s="3097"/>
      <c r="S22" s="3098">
        <f>'Sbt(b)'!P4</f>
        <v>2022</v>
      </c>
      <c r="T22" s="3808"/>
      <c r="U22" s="2503"/>
    </row>
    <row r="23" spans="1:21" s="4" customFormat="1" ht="12.75" x14ac:dyDescent="0.2">
      <c r="A23" s="2503"/>
      <c r="B23" s="323"/>
      <c r="C23" s="20"/>
      <c r="D23" s="20"/>
      <c r="E23" s="20"/>
      <c r="F23" s="20"/>
      <c r="G23" s="20"/>
      <c r="H23" s="20"/>
      <c r="I23" s="20"/>
      <c r="J23" s="20"/>
      <c r="K23" s="20"/>
      <c r="L23" s="20"/>
      <c r="M23" s="20"/>
      <c r="N23" s="20"/>
      <c r="O23" s="20"/>
      <c r="P23" s="20"/>
      <c r="Q23" s="20"/>
      <c r="R23" s="20"/>
      <c r="S23" s="20"/>
      <c r="T23" s="309"/>
      <c r="U23" s="2503"/>
    </row>
    <row r="24" spans="1:21" ht="30.2" customHeight="1" x14ac:dyDescent="0.2">
      <c r="A24" s="2503"/>
      <c r="B24" s="898"/>
      <c r="C24" s="899" t="s">
        <v>1077</v>
      </c>
      <c r="D24" s="900"/>
      <c r="E24" s="900"/>
      <c r="F24" s="900"/>
      <c r="G24" s="900"/>
      <c r="H24" s="900"/>
      <c r="I24" s="900"/>
      <c r="J24" s="900"/>
      <c r="K24" s="900"/>
      <c r="L24" s="900"/>
      <c r="M24" s="900"/>
      <c r="N24" s="900"/>
      <c r="O24" s="910" t="s">
        <v>98</v>
      </c>
      <c r="P24" s="902"/>
      <c r="Q24" s="903">
        <f>'Sbt(b)'!K7</f>
        <v>7500</v>
      </c>
      <c r="R24" s="903">
        <f>'Sbt(b)'!M7</f>
        <v>8500</v>
      </c>
      <c r="S24" s="903">
        <f>'Sbt(b)'!O7</f>
        <v>9500</v>
      </c>
      <c r="T24" s="902"/>
      <c r="U24" s="2503"/>
    </row>
    <row r="25" spans="1:21" ht="30.2" customHeight="1" x14ac:dyDescent="0.2">
      <c r="A25" s="2503"/>
      <c r="B25" s="904"/>
      <c r="C25" s="911" t="str">
        <f>C7</f>
        <v>Milchpreis  (inkl. Mwst. )</v>
      </c>
      <c r="D25" s="906"/>
      <c r="E25" s="906"/>
      <c r="F25" s="906"/>
      <c r="G25" s="906"/>
      <c r="H25" s="906"/>
      <c r="I25" s="906"/>
      <c r="J25" s="906"/>
      <c r="K25" s="906"/>
      <c r="L25" s="906"/>
      <c r="M25" s="906"/>
      <c r="N25" s="906"/>
      <c r="O25" s="904" t="s">
        <v>99</v>
      </c>
      <c r="P25" s="907"/>
      <c r="Q25" s="912">
        <f>'Sbt(b)'!K8</f>
        <v>0.45004499999999997</v>
      </c>
      <c r="R25" s="912">
        <f>'Sbt(b)'!M8</f>
        <v>0.45004499999999997</v>
      </c>
      <c r="S25" s="912">
        <f>'Sbt(b)'!O8</f>
        <v>0.45004499999999997</v>
      </c>
      <c r="T25" s="907"/>
      <c r="U25" s="2503"/>
    </row>
    <row r="26" spans="1:21" ht="48.2" customHeight="1" x14ac:dyDescent="0.2">
      <c r="A26" s="2503"/>
      <c r="B26" s="340"/>
      <c r="C26" s="341" t="s">
        <v>253</v>
      </c>
      <c r="D26" s="342"/>
      <c r="E26" s="342"/>
      <c r="F26" s="342"/>
      <c r="G26" s="342"/>
      <c r="H26" s="342"/>
      <c r="I26" s="342"/>
      <c r="J26" s="342"/>
      <c r="K26" s="342"/>
      <c r="L26" s="342"/>
      <c r="M26" s="342"/>
      <c r="N26" s="342"/>
      <c r="O26" s="340" t="s">
        <v>101</v>
      </c>
      <c r="P26" s="344"/>
      <c r="Q26" s="343">
        <f>Q18</f>
        <v>967.73588054999959</v>
      </c>
      <c r="R26" s="343">
        <f>R18</f>
        <v>1246.0843750166657</v>
      </c>
      <c r="S26" s="343">
        <f>S18</f>
        <v>402.46554148333325</v>
      </c>
      <c r="T26" s="344"/>
      <c r="U26" s="2503"/>
    </row>
    <row r="27" spans="1:21" ht="36" customHeight="1" x14ac:dyDescent="0.2">
      <c r="A27" s="2503"/>
      <c r="B27" s="315"/>
      <c r="C27" s="331" t="s">
        <v>47</v>
      </c>
      <c r="D27" s="331"/>
      <c r="E27" s="331"/>
      <c r="F27" s="331"/>
      <c r="G27" s="331"/>
      <c r="H27" s="331"/>
      <c r="I27" s="331"/>
      <c r="J27" s="331"/>
      <c r="K27" s="331"/>
      <c r="L27" s="331"/>
      <c r="M27" s="331"/>
      <c r="N27" s="331"/>
      <c r="O27" s="315"/>
      <c r="P27" s="317"/>
      <c r="Q27" s="354">
        <f>'Sbt(b)'!K36</f>
        <v>787.5</v>
      </c>
      <c r="R27" s="354">
        <f>'Sbt(b)'!M36</f>
        <v>822.5</v>
      </c>
      <c r="S27" s="354">
        <f>'Sbt(b)'!O36</f>
        <v>857.5</v>
      </c>
      <c r="T27" s="317"/>
      <c r="U27" s="2503"/>
    </row>
    <row r="28" spans="1:21" ht="36" customHeight="1" x14ac:dyDescent="0.2">
      <c r="A28" s="2503"/>
      <c r="B28" s="302"/>
      <c r="C28" s="303" t="s">
        <v>144</v>
      </c>
      <c r="D28" s="303"/>
      <c r="E28" s="303"/>
      <c r="F28" s="303"/>
      <c r="G28" s="303"/>
      <c r="H28" s="303"/>
      <c r="I28" s="303"/>
      <c r="J28" s="303"/>
      <c r="K28" s="303"/>
      <c r="L28" s="303"/>
      <c r="M28" s="303"/>
      <c r="N28" s="303"/>
      <c r="O28" s="302"/>
      <c r="P28" s="304"/>
      <c r="Q28" s="332">
        <f>'Sbt(b)'!K37+'Sbt(b)'!K38</f>
        <v>751.73886666666658</v>
      </c>
      <c r="R28" s="332">
        <f>'Sbt(b)'!M37+'Sbt(b)'!M38</f>
        <v>751.73886666666658</v>
      </c>
      <c r="S28" s="332">
        <f>'Sbt(b)'!O37+'Sbt(b)'!O38</f>
        <v>751.73886666666658</v>
      </c>
      <c r="T28" s="304"/>
      <c r="U28" s="2503"/>
    </row>
    <row r="29" spans="1:21" ht="36" customHeight="1" x14ac:dyDescent="0.2">
      <c r="A29" s="2503"/>
      <c r="B29" s="302"/>
      <c r="C29" s="303" t="s">
        <v>81</v>
      </c>
      <c r="D29" s="303"/>
      <c r="E29" s="303"/>
      <c r="F29" s="303"/>
      <c r="G29" s="303"/>
      <c r="H29" s="303"/>
      <c r="I29" s="303"/>
      <c r="J29" s="303"/>
      <c r="K29" s="303"/>
      <c r="L29" s="303"/>
      <c r="M29" s="303"/>
      <c r="N29" s="303"/>
      <c r="O29" s="302"/>
      <c r="P29" s="304"/>
      <c r="Q29" s="332">
        <f>'Sbt(b)'!K39</f>
        <v>93.12939999999999</v>
      </c>
      <c r="R29" s="332">
        <f>'Sbt(b)'!M39</f>
        <v>93.12939999999999</v>
      </c>
      <c r="S29" s="332">
        <f>'Sbt(b)'!O39</f>
        <v>93.12939999999999</v>
      </c>
      <c r="T29" s="304"/>
      <c r="U29" s="2503"/>
    </row>
    <row r="30" spans="1:21" ht="36" customHeight="1" x14ac:dyDescent="0.2">
      <c r="A30" s="2503"/>
      <c r="B30" s="302"/>
      <c r="C30" s="303" t="s">
        <v>895</v>
      </c>
      <c r="D30" s="303"/>
      <c r="E30" s="303"/>
      <c r="F30" s="303"/>
      <c r="G30" s="303"/>
      <c r="H30" s="303"/>
      <c r="I30" s="303"/>
      <c r="J30" s="303"/>
      <c r="K30" s="303"/>
      <c r="L30" s="303"/>
      <c r="M30" s="303"/>
      <c r="N30" s="303"/>
      <c r="O30" s="302"/>
      <c r="P30" s="304"/>
      <c r="Q30" s="332">
        <f>'Sbt(b)'!K40</f>
        <v>117.60000000000001</v>
      </c>
      <c r="R30" s="332">
        <f>'Sbt(b)'!M40</f>
        <v>117.60000000000001</v>
      </c>
      <c r="S30" s="332">
        <f>'Sbt(b)'!O40</f>
        <v>117.60000000000001</v>
      </c>
      <c r="T30" s="304"/>
      <c r="U30" s="2503"/>
    </row>
    <row r="31" spans="1:21" ht="48.2" customHeight="1" x14ac:dyDescent="0.2">
      <c r="A31" s="2503"/>
      <c r="B31" s="316"/>
      <c r="C31" s="313" t="s">
        <v>141</v>
      </c>
      <c r="D31" s="306"/>
      <c r="E31" s="306"/>
      <c r="F31" s="306"/>
      <c r="G31" s="306"/>
      <c r="H31" s="306"/>
      <c r="I31" s="306"/>
      <c r="J31" s="306"/>
      <c r="K31" s="306"/>
      <c r="L31" s="306"/>
      <c r="M31" s="306"/>
      <c r="N31" s="306"/>
      <c r="O31" s="316"/>
      <c r="P31" s="320"/>
      <c r="Q31" s="335">
        <f>Q27+Q28+Q29+Q30</f>
        <v>1749.9682666666665</v>
      </c>
      <c r="R31" s="335">
        <f>R27+R28+R29+R30</f>
        <v>1784.9682666666665</v>
      </c>
      <c r="S31" s="335">
        <f>S27+S28+S29+S30</f>
        <v>1819.9682666666665</v>
      </c>
      <c r="T31" s="320"/>
      <c r="U31" s="2503"/>
    </row>
    <row r="32" spans="1:21" ht="52.5" customHeight="1" x14ac:dyDescent="0.2">
      <c r="A32" s="2503"/>
      <c r="B32" s="315"/>
      <c r="C32" s="535" t="s">
        <v>147</v>
      </c>
      <c r="D32" s="331"/>
      <c r="E32" s="331"/>
      <c r="F32" s="331"/>
      <c r="G32" s="331"/>
      <c r="H32" s="331"/>
      <c r="I32" s="331"/>
      <c r="J32" s="331"/>
      <c r="K32" s="331"/>
      <c r="L32" s="331"/>
      <c r="M32" s="331"/>
      <c r="N32" s="331"/>
      <c r="O32" s="315"/>
      <c r="P32" s="317"/>
      <c r="Q32" s="541">
        <f>Q26-Q31</f>
        <v>-782.23238611666693</v>
      </c>
      <c r="R32" s="541">
        <f>R26-R31</f>
        <v>-538.88389165000081</v>
      </c>
      <c r="S32" s="541">
        <f>S26-S31</f>
        <v>-1417.5027251833333</v>
      </c>
      <c r="T32" s="317"/>
      <c r="U32" s="2503"/>
    </row>
    <row r="33" spans="1:21" ht="23.25" customHeight="1" x14ac:dyDescent="0.2">
      <c r="A33" s="2503"/>
      <c r="B33" s="316"/>
      <c r="C33" s="537" t="s">
        <v>148</v>
      </c>
      <c r="D33" s="306"/>
      <c r="E33" s="306"/>
      <c r="F33" s="306"/>
      <c r="G33" s="306"/>
      <c r="H33" s="306"/>
      <c r="I33" s="306"/>
      <c r="J33" s="306"/>
      <c r="K33" s="306"/>
      <c r="L33" s="306"/>
      <c r="M33" s="306"/>
      <c r="N33" s="306"/>
      <c r="O33" s="316"/>
      <c r="P33" s="320"/>
      <c r="Q33" s="335"/>
      <c r="R33" s="335"/>
      <c r="S33" s="335"/>
      <c r="T33" s="320"/>
      <c r="U33" s="2503"/>
    </row>
    <row r="34" spans="1:21" ht="16.5" customHeight="1" x14ac:dyDescent="0.2">
      <c r="A34" s="2503"/>
      <c r="B34" s="303"/>
      <c r="C34" s="333"/>
      <c r="D34" s="303"/>
      <c r="E34" s="303"/>
      <c r="F34" s="303"/>
      <c r="G34" s="303"/>
      <c r="H34" s="303"/>
      <c r="I34" s="303"/>
      <c r="J34" s="303"/>
      <c r="K34" s="303"/>
      <c r="L34" s="303"/>
      <c r="M34" s="303"/>
      <c r="N34" s="303"/>
      <c r="O34" s="303"/>
      <c r="P34" s="303"/>
      <c r="Q34" s="334"/>
      <c r="R34" s="334"/>
      <c r="S34" s="334"/>
      <c r="T34" s="303"/>
      <c r="U34" s="2503"/>
    </row>
    <row r="35" spans="1:21" ht="31.7" customHeight="1" x14ac:dyDescent="0.2">
      <c r="A35" s="2503"/>
      <c r="B35" s="3075"/>
      <c r="C35" s="3088" t="s">
        <v>131</v>
      </c>
      <c r="D35" s="3099" t="s">
        <v>57</v>
      </c>
      <c r="E35" s="3089"/>
      <c r="F35" s="3089"/>
      <c r="G35" s="3089"/>
      <c r="H35" s="3089"/>
      <c r="I35" s="3089"/>
      <c r="J35" s="3089"/>
      <c r="K35" s="3089"/>
      <c r="L35" s="3089"/>
      <c r="M35" s="3089"/>
      <c r="N35" s="3089"/>
      <c r="O35" s="3089"/>
      <c r="P35" s="3089"/>
      <c r="Q35" s="3090"/>
      <c r="R35" s="3091"/>
      <c r="S35" s="3092" t="str">
        <f>'Sbt(b)'!P2</f>
        <v>Milchkuh; Holstein-Sbt.</v>
      </c>
      <c r="T35" s="3807"/>
      <c r="U35" s="2503"/>
    </row>
    <row r="36" spans="1:21" x14ac:dyDescent="0.2">
      <c r="A36" s="2503"/>
      <c r="B36" s="3081"/>
      <c r="C36" s="3094" t="s">
        <v>149</v>
      </c>
      <c r="D36" s="3100" t="s">
        <v>152</v>
      </c>
      <c r="E36" s="3101"/>
      <c r="F36" s="3101"/>
      <c r="G36" s="3095"/>
      <c r="H36" s="3095"/>
      <c r="I36" s="3095"/>
      <c r="J36" s="3095"/>
      <c r="K36" s="3095"/>
      <c r="L36" s="3095"/>
      <c r="M36" s="3095"/>
      <c r="N36" s="3095"/>
      <c r="O36" s="3095"/>
      <c r="P36" s="3095"/>
      <c r="Q36" s="3096" t="str">
        <f>Q4</f>
        <v xml:space="preserve">  Kalenderjahr:</v>
      </c>
      <c r="R36" s="3095"/>
      <c r="S36" s="3097">
        <f>'Sbt(b)'!P4</f>
        <v>2022</v>
      </c>
      <c r="T36" s="3808"/>
      <c r="U36" s="2503"/>
    </row>
    <row r="37" spans="1:21" s="4" customFormat="1" ht="12.75" x14ac:dyDescent="0.2">
      <c r="A37" s="2503"/>
      <c r="B37" s="101"/>
      <c r="C37" s="20"/>
      <c r="D37" s="20"/>
      <c r="E37" s="20"/>
      <c r="F37" s="20"/>
      <c r="G37" s="20"/>
      <c r="H37" s="20"/>
      <c r="I37" s="20"/>
      <c r="J37" s="20"/>
      <c r="K37" s="20"/>
      <c r="L37" s="20"/>
      <c r="M37" s="20"/>
      <c r="N37" s="20"/>
      <c r="O37" s="20"/>
      <c r="P37" s="20"/>
      <c r="Q37" s="20"/>
      <c r="R37" s="20"/>
      <c r="S37" s="20"/>
      <c r="T37" s="309"/>
      <c r="U37" s="2503"/>
    </row>
    <row r="38" spans="1:21" ht="30.2" customHeight="1" x14ac:dyDescent="0.2">
      <c r="A38" s="2503"/>
      <c r="B38" s="898"/>
      <c r="C38" s="913" t="s">
        <v>1077</v>
      </c>
      <c r="D38" s="914"/>
      <c r="E38" s="914"/>
      <c r="F38" s="914"/>
      <c r="G38" s="914"/>
      <c r="H38" s="914"/>
      <c r="I38" s="914"/>
      <c r="J38" s="914"/>
      <c r="K38" s="914"/>
      <c r="L38" s="914"/>
      <c r="M38" s="914"/>
      <c r="N38" s="914"/>
      <c r="O38" s="898" t="s">
        <v>98</v>
      </c>
      <c r="P38" s="915"/>
      <c r="Q38" s="916">
        <f>'Sbt(b)'!K7</f>
        <v>7500</v>
      </c>
      <c r="R38" s="916">
        <f>'Sbt(b)'!M7</f>
        <v>8500</v>
      </c>
      <c r="S38" s="916">
        <f>'Sbt(b)'!O7</f>
        <v>9500</v>
      </c>
      <c r="T38" s="917"/>
      <c r="U38" s="2503"/>
    </row>
    <row r="39" spans="1:21" ht="30.2" customHeight="1" x14ac:dyDescent="0.2">
      <c r="A39" s="2503"/>
      <c r="B39" s="904"/>
      <c r="C39" s="918" t="str">
        <f>C7</f>
        <v>Milchpreis  (inkl. Mwst. )</v>
      </c>
      <c r="D39" s="919"/>
      <c r="E39" s="906"/>
      <c r="F39" s="906"/>
      <c r="G39" s="906"/>
      <c r="H39" s="906"/>
      <c r="I39" s="906"/>
      <c r="J39" s="906"/>
      <c r="K39" s="906"/>
      <c r="L39" s="906"/>
      <c r="M39" s="906"/>
      <c r="N39" s="906"/>
      <c r="O39" s="904" t="s">
        <v>99</v>
      </c>
      <c r="P39" s="920"/>
      <c r="Q39" s="921">
        <f>'Sbt(b)'!K8</f>
        <v>0.45004499999999997</v>
      </c>
      <c r="R39" s="921">
        <f>'Sbt(b)'!M8</f>
        <v>0.45004499999999997</v>
      </c>
      <c r="S39" s="921">
        <f>'Sbt(b)'!O8</f>
        <v>0.45004499999999997</v>
      </c>
      <c r="T39" s="907"/>
      <c r="U39" s="2503"/>
    </row>
    <row r="40" spans="1:21" ht="8.4499999999999993" customHeight="1" x14ac:dyDescent="0.2">
      <c r="A40" s="2503"/>
      <c r="B40" s="302"/>
      <c r="C40" s="303"/>
      <c r="D40" s="303"/>
      <c r="E40" s="303"/>
      <c r="F40" s="303"/>
      <c r="G40" s="303"/>
      <c r="H40" s="303"/>
      <c r="I40" s="303"/>
      <c r="J40" s="303"/>
      <c r="K40" s="303"/>
      <c r="L40" s="303"/>
      <c r="M40" s="303"/>
      <c r="N40" s="303"/>
      <c r="O40" s="302"/>
      <c r="P40" s="304"/>
      <c r="Q40" s="303"/>
      <c r="R40" s="303"/>
      <c r="S40" s="303"/>
      <c r="T40" s="304"/>
      <c r="U40" s="2503"/>
    </row>
    <row r="41" spans="1:21" ht="30.2" customHeight="1" x14ac:dyDescent="0.2">
      <c r="A41" s="2503"/>
      <c r="B41" s="302"/>
      <c r="C41" s="303" t="s">
        <v>100</v>
      </c>
      <c r="D41" s="303"/>
      <c r="E41" s="303"/>
      <c r="F41" s="303"/>
      <c r="G41" s="303"/>
      <c r="H41" s="303"/>
      <c r="I41" s="303"/>
      <c r="J41" s="303"/>
      <c r="K41" s="303"/>
      <c r="L41" s="303"/>
      <c r="M41" s="303"/>
      <c r="N41" s="303"/>
      <c r="O41" s="302" t="s">
        <v>99</v>
      </c>
      <c r="P41" s="304"/>
      <c r="Q41" s="305">
        <f>Q9/Q38</f>
        <v>0.45004499999999997</v>
      </c>
      <c r="R41" s="305">
        <f>R9/R38</f>
        <v>0.45004499999999997</v>
      </c>
      <c r="S41" s="305">
        <f>S9/S38</f>
        <v>0.45004499999999997</v>
      </c>
      <c r="T41" s="304"/>
      <c r="U41" s="2503"/>
    </row>
    <row r="42" spans="1:21" ht="30.2" customHeight="1" x14ac:dyDescent="0.2">
      <c r="A42" s="2503"/>
      <c r="B42" s="302"/>
      <c r="C42" s="303" t="s">
        <v>102</v>
      </c>
      <c r="D42" s="303"/>
      <c r="E42" s="303"/>
      <c r="F42" s="303"/>
      <c r="G42" s="303"/>
      <c r="H42" s="303"/>
      <c r="I42" s="303"/>
      <c r="J42" s="303"/>
      <c r="K42" s="303"/>
      <c r="L42" s="303"/>
      <c r="M42" s="303"/>
      <c r="N42" s="303"/>
      <c r="O42" s="302"/>
      <c r="P42" s="304"/>
      <c r="Q42" s="305">
        <f>Q10/Q24</f>
        <v>0.11895609777777778</v>
      </c>
      <c r="R42" s="305">
        <f>R10/R24</f>
        <v>0.10581887941176471</v>
      </c>
      <c r="S42" s="305">
        <f>S10/S24</f>
        <v>9.5447391228070194E-2</v>
      </c>
      <c r="T42" s="304"/>
      <c r="U42" s="2503"/>
    </row>
    <row r="43" spans="1:21" ht="35.450000000000003" customHeight="1" x14ac:dyDescent="0.2">
      <c r="A43" s="2503"/>
      <c r="B43" s="316"/>
      <c r="C43" s="313" t="s">
        <v>103</v>
      </c>
      <c r="D43" s="306"/>
      <c r="E43" s="306"/>
      <c r="F43" s="306"/>
      <c r="G43" s="306"/>
      <c r="H43" s="306"/>
      <c r="I43" s="306"/>
      <c r="J43" s="306"/>
      <c r="K43" s="306"/>
      <c r="L43" s="306"/>
      <c r="M43" s="306"/>
      <c r="N43" s="306"/>
      <c r="O43" s="316"/>
      <c r="P43" s="320"/>
      <c r="Q43" s="307">
        <f>Q41+Q42</f>
        <v>0.56900109777777774</v>
      </c>
      <c r="R43" s="307">
        <f>R41+R42</f>
        <v>0.55586387941176474</v>
      </c>
      <c r="S43" s="307">
        <f>S41+S42</f>
        <v>0.54549239122807014</v>
      </c>
      <c r="T43" s="320"/>
      <c r="U43" s="2503"/>
    </row>
    <row r="44" spans="1:21" ht="30.2" customHeight="1" x14ac:dyDescent="0.2">
      <c r="A44" s="2503"/>
      <c r="B44" s="302"/>
      <c r="C44" s="303" t="s">
        <v>1086</v>
      </c>
      <c r="D44" s="303"/>
      <c r="E44" s="303"/>
      <c r="F44" s="303"/>
      <c r="G44" s="303"/>
      <c r="H44" s="303"/>
      <c r="I44" s="303"/>
      <c r="J44" s="303"/>
      <c r="K44" s="303"/>
      <c r="L44" s="303"/>
      <c r="M44" s="303"/>
      <c r="N44" s="303"/>
      <c r="O44" s="302"/>
      <c r="P44" s="304"/>
      <c r="Q44" s="305">
        <f>Q12/Q38</f>
        <v>8.7599999999999997E-2</v>
      </c>
      <c r="R44" s="305">
        <f>R12/R38</f>
        <v>7.7294117647058819E-2</v>
      </c>
      <c r="S44" s="305">
        <f>S12/S38</f>
        <v>6.9157894736842099E-2</v>
      </c>
      <c r="T44" s="304"/>
      <c r="U44" s="2503"/>
    </row>
    <row r="45" spans="1:21" ht="30.2" customHeight="1" x14ac:dyDescent="0.2">
      <c r="A45" s="2503"/>
      <c r="B45" s="302"/>
      <c r="C45" s="303" t="s">
        <v>64</v>
      </c>
      <c r="D45" s="303"/>
      <c r="E45" s="303"/>
      <c r="F45" s="303"/>
      <c r="G45" s="303"/>
      <c r="H45" s="303"/>
      <c r="I45" s="303"/>
      <c r="J45" s="303"/>
      <c r="K45" s="303"/>
      <c r="L45" s="303"/>
      <c r="M45" s="303"/>
      <c r="N45" s="303"/>
      <c r="O45" s="302"/>
      <c r="P45" s="304"/>
      <c r="Q45" s="305">
        <f>Q13/Q38</f>
        <v>0.11409113333333334</v>
      </c>
      <c r="R45" s="305">
        <f>R13/R38</f>
        <v>0.10646070588235296</v>
      </c>
      <c r="S45" s="305">
        <f>S13/S38</f>
        <v>0.10043668421052633</v>
      </c>
      <c r="T45" s="304"/>
      <c r="U45" s="2503"/>
    </row>
    <row r="46" spans="1:21" ht="30.2" customHeight="1" x14ac:dyDescent="0.2">
      <c r="A46" s="2503"/>
      <c r="B46" s="302"/>
      <c r="C46" s="303" t="s">
        <v>140</v>
      </c>
      <c r="D46" s="303"/>
      <c r="E46" s="303"/>
      <c r="F46" s="303"/>
      <c r="G46" s="303"/>
      <c r="H46" s="303"/>
      <c r="I46" s="303"/>
      <c r="J46" s="303"/>
      <c r="K46" s="303"/>
      <c r="L46" s="303"/>
      <c r="M46" s="303"/>
      <c r="N46" s="303"/>
      <c r="O46" s="302"/>
      <c r="P46" s="304"/>
      <c r="Q46" s="305">
        <f>('Sbt(b)'!K19+'Sbt(b)'!K20+'Sbt(b)'!K22+'Sbt(b)'!K21+'Sbt(b)'!K28)/'Sbt(b)'!K7</f>
        <v>8.6804938117777772E-2</v>
      </c>
      <c r="R46" s="305">
        <f>('Sbt(b)'!M19+'Sbt(b)'!M20+'Sbt(b)'!M22+'Sbt(b)'!M21+'Sbt(b)'!M28)/'Sbt(b)'!M7</f>
        <v>8.1259366527450999E-2</v>
      </c>
      <c r="S46" s="305">
        <f>('Sbt(b)'!O19+'Sbt(b)'!O20+'Sbt(b)'!O22+'Sbt(b)'!O21+'Sbt(b)'!O28)/'Sbt(b)'!O7</f>
        <v>0.19547075737719297</v>
      </c>
      <c r="T46" s="304"/>
      <c r="U46" s="2503"/>
    </row>
    <row r="47" spans="1:21" ht="35.450000000000003" customHeight="1" x14ac:dyDescent="0.2">
      <c r="A47" s="2503"/>
      <c r="B47" s="316"/>
      <c r="C47" s="313" t="s">
        <v>105</v>
      </c>
      <c r="D47" s="306"/>
      <c r="E47" s="306"/>
      <c r="F47" s="306"/>
      <c r="G47" s="306"/>
      <c r="H47" s="306"/>
      <c r="I47" s="306"/>
      <c r="J47" s="306"/>
      <c r="K47" s="306"/>
      <c r="L47" s="306"/>
      <c r="M47" s="306"/>
      <c r="N47" s="306"/>
      <c r="O47" s="316"/>
      <c r="P47" s="320"/>
      <c r="Q47" s="307">
        <f>Q15/Q38</f>
        <v>0.28849607145111111</v>
      </c>
      <c r="R47" s="307">
        <f>R15/R38</f>
        <v>0.26501419005686278</v>
      </c>
      <c r="S47" s="307">
        <f>S15/S38</f>
        <v>0.3650653363245614</v>
      </c>
      <c r="T47" s="320"/>
      <c r="U47" s="2503"/>
    </row>
    <row r="48" spans="1:21" ht="37.5" customHeight="1" x14ac:dyDescent="0.2">
      <c r="A48" s="2503"/>
      <c r="B48" s="302"/>
      <c r="C48" s="321" t="s">
        <v>254</v>
      </c>
      <c r="D48" s="303"/>
      <c r="E48" s="303"/>
      <c r="F48" s="303"/>
      <c r="G48" s="303"/>
      <c r="H48" s="303"/>
      <c r="I48" s="303"/>
      <c r="J48" s="303"/>
      <c r="K48" s="303"/>
      <c r="L48" s="303"/>
      <c r="M48" s="303"/>
      <c r="N48" s="303"/>
      <c r="O48" s="302"/>
      <c r="P48" s="304"/>
      <c r="Q48" s="322">
        <f>Q43-Q47</f>
        <v>0.28050502632666663</v>
      </c>
      <c r="R48" s="322">
        <f>R43-R47</f>
        <v>0.29084968935490196</v>
      </c>
      <c r="S48" s="322">
        <f>S43-S47</f>
        <v>0.18042705490350874</v>
      </c>
      <c r="T48" s="304"/>
      <c r="U48" s="2503"/>
    </row>
    <row r="49" spans="1:21" ht="30.2" customHeight="1" x14ac:dyDescent="0.2">
      <c r="A49" s="2503"/>
      <c r="B49" s="302"/>
      <c r="C49" s="303" t="s">
        <v>627</v>
      </c>
      <c r="D49" s="303"/>
      <c r="E49" s="303"/>
      <c r="F49" s="303"/>
      <c r="G49" s="303"/>
      <c r="H49" s="303"/>
      <c r="I49" s="303"/>
      <c r="J49" s="303"/>
      <c r="K49" s="303"/>
      <c r="L49" s="303"/>
      <c r="M49" s="303"/>
      <c r="N49" s="303"/>
      <c r="O49" s="302"/>
      <c r="P49" s="304"/>
      <c r="Q49" s="305">
        <f>Q17/Q38</f>
        <v>0.15147357558666666</v>
      </c>
      <c r="R49" s="305">
        <f>R17/R38</f>
        <v>0.14425152758823534</v>
      </c>
      <c r="S49" s="305">
        <f>S17/S38</f>
        <v>0.13806226106315794</v>
      </c>
      <c r="T49" s="304"/>
      <c r="U49" s="2503"/>
    </row>
    <row r="50" spans="1:21" ht="37.5" customHeight="1" x14ac:dyDescent="0.2">
      <c r="A50" s="2503"/>
      <c r="B50" s="316"/>
      <c r="C50" s="314" t="s">
        <v>253</v>
      </c>
      <c r="D50" s="311"/>
      <c r="E50" s="311"/>
      <c r="F50" s="311"/>
      <c r="G50" s="311"/>
      <c r="H50" s="311"/>
      <c r="I50" s="311"/>
      <c r="J50" s="311"/>
      <c r="K50" s="311"/>
      <c r="L50" s="311"/>
      <c r="M50" s="311"/>
      <c r="N50" s="311"/>
      <c r="O50" s="361"/>
      <c r="P50" s="362"/>
      <c r="Q50" s="312">
        <f>Q48-Q49</f>
        <v>0.12903145073999997</v>
      </c>
      <c r="R50" s="312">
        <f>R48-R49</f>
        <v>0.14659816176666662</v>
      </c>
      <c r="S50" s="312">
        <f>S48-S49</f>
        <v>4.2364793840350801E-2</v>
      </c>
      <c r="T50" s="308">
        <f>T48-T49</f>
        <v>0</v>
      </c>
      <c r="U50" s="2503"/>
    </row>
    <row r="51" spans="1:21" ht="12.2" customHeight="1" x14ac:dyDescent="0.2">
      <c r="A51" s="2503"/>
      <c r="U51" s="2503"/>
    </row>
    <row r="52" spans="1:21" ht="32.25" customHeight="1" x14ac:dyDescent="0.2">
      <c r="A52" s="2503"/>
      <c r="B52" s="3075"/>
      <c r="C52" s="3087" t="s">
        <v>131</v>
      </c>
      <c r="D52" s="3102" t="s">
        <v>57</v>
      </c>
      <c r="E52" s="3089"/>
      <c r="F52" s="3089"/>
      <c r="G52" s="3089"/>
      <c r="H52" s="3089"/>
      <c r="I52" s="3089"/>
      <c r="J52" s="3089"/>
      <c r="K52" s="3089"/>
      <c r="L52" s="3089"/>
      <c r="M52" s="3089"/>
      <c r="N52" s="3089"/>
      <c r="O52" s="3089"/>
      <c r="P52" s="3089"/>
      <c r="Q52" s="3090"/>
      <c r="R52" s="3091"/>
      <c r="S52" s="3092" t="str">
        <f>'Sbt(b)'!P2</f>
        <v>Milchkuh; Holstein-Sbt.</v>
      </c>
      <c r="T52" s="3807"/>
      <c r="U52" s="2503"/>
    </row>
    <row r="53" spans="1:21" x14ac:dyDescent="0.2">
      <c r="A53" s="2503"/>
      <c r="B53" s="3081"/>
      <c r="C53" s="3094" t="s">
        <v>149</v>
      </c>
      <c r="D53" s="3094" t="s">
        <v>153</v>
      </c>
      <c r="E53" s="3095"/>
      <c r="F53" s="3095"/>
      <c r="G53" s="3095"/>
      <c r="H53" s="3095"/>
      <c r="I53" s="3095"/>
      <c r="J53" s="3095"/>
      <c r="K53" s="3095"/>
      <c r="L53" s="3095"/>
      <c r="M53" s="3095"/>
      <c r="N53" s="3095"/>
      <c r="O53" s="3095"/>
      <c r="P53" s="3095"/>
      <c r="Q53" s="3096" t="str">
        <f>Q4</f>
        <v xml:space="preserve">  Kalenderjahr:</v>
      </c>
      <c r="R53" s="3095"/>
      <c r="S53" s="3095">
        <f>'Sbt(b)'!P4</f>
        <v>2022</v>
      </c>
      <c r="T53" s="3808"/>
      <c r="U53" s="2503"/>
    </row>
    <row r="54" spans="1:21" s="4" customFormat="1" ht="12.75" x14ac:dyDescent="0.2">
      <c r="A54" s="2503"/>
      <c r="B54" s="323"/>
      <c r="C54" s="20"/>
      <c r="D54" s="20"/>
      <c r="E54" s="20"/>
      <c r="F54" s="20"/>
      <c r="G54" s="20"/>
      <c r="H54" s="20"/>
      <c r="I54" s="20"/>
      <c r="J54" s="20"/>
      <c r="K54" s="20"/>
      <c r="L54" s="20"/>
      <c r="M54" s="20"/>
      <c r="N54" s="20"/>
      <c r="O54" s="20"/>
      <c r="P54" s="20"/>
      <c r="Q54" s="353"/>
      <c r="R54" s="20"/>
      <c r="S54" s="20"/>
      <c r="T54" s="309"/>
      <c r="U54" s="2503"/>
    </row>
    <row r="55" spans="1:21" ht="30.2" customHeight="1" x14ac:dyDescent="0.2">
      <c r="A55" s="2503"/>
      <c r="B55" s="329"/>
      <c r="C55" s="324" t="s">
        <v>1077</v>
      </c>
      <c r="D55" s="325"/>
      <c r="E55" s="325"/>
      <c r="F55" s="325"/>
      <c r="G55" s="325"/>
      <c r="H55" s="325"/>
      <c r="I55" s="325"/>
      <c r="J55" s="325"/>
      <c r="K55" s="325"/>
      <c r="L55" s="325"/>
      <c r="M55" s="325"/>
      <c r="N55" s="325"/>
      <c r="O55" s="329" t="s">
        <v>98</v>
      </c>
      <c r="P55" s="330"/>
      <c r="Q55" s="326">
        <f>'Sbt(b)'!K7</f>
        <v>7500</v>
      </c>
      <c r="R55" s="326">
        <f>'Sbt(b)'!M7</f>
        <v>8500</v>
      </c>
      <c r="S55" s="326">
        <f>'Sbt(b)'!O7</f>
        <v>9500</v>
      </c>
      <c r="T55" s="330"/>
      <c r="U55" s="2503"/>
    </row>
    <row r="56" spans="1:21" ht="30.2" customHeight="1" x14ac:dyDescent="0.2">
      <c r="A56" s="2503"/>
      <c r="B56" s="318"/>
      <c r="C56" s="327" t="str">
        <f>C7</f>
        <v>Milchpreis  (inkl. Mwst. )</v>
      </c>
      <c r="D56" s="310"/>
      <c r="E56" s="310"/>
      <c r="F56" s="310"/>
      <c r="G56" s="310"/>
      <c r="H56" s="310"/>
      <c r="I56" s="310"/>
      <c r="J56" s="310"/>
      <c r="K56" s="310"/>
      <c r="L56" s="310"/>
      <c r="M56" s="310"/>
      <c r="N56" s="310"/>
      <c r="O56" s="318" t="s">
        <v>99</v>
      </c>
      <c r="P56" s="319"/>
      <c r="Q56" s="328">
        <f>'Sbt(b)'!K8</f>
        <v>0.45004499999999997</v>
      </c>
      <c r="R56" s="328">
        <f>'Sbt(b)'!M8</f>
        <v>0.45004499999999997</v>
      </c>
      <c r="S56" s="328">
        <f>'Sbt(b)'!O8</f>
        <v>0.45004499999999997</v>
      </c>
      <c r="T56" s="319"/>
      <c r="U56" s="2503"/>
    </row>
    <row r="57" spans="1:21" ht="17.45" customHeight="1" x14ac:dyDescent="0.2">
      <c r="A57" s="2503"/>
      <c r="B57" s="315"/>
      <c r="C57" s="331"/>
      <c r="D57" s="331"/>
      <c r="E57" s="331"/>
      <c r="F57" s="331"/>
      <c r="G57" s="331"/>
      <c r="H57" s="331"/>
      <c r="I57" s="331"/>
      <c r="J57" s="331"/>
      <c r="K57" s="331"/>
      <c r="L57" s="331"/>
      <c r="M57" s="331"/>
      <c r="N57" s="331"/>
      <c r="O57" s="315"/>
      <c r="P57" s="317"/>
      <c r="Q57" s="331"/>
      <c r="R57" s="331"/>
      <c r="S57" s="331"/>
      <c r="T57" s="317"/>
      <c r="U57" s="2503"/>
    </row>
    <row r="58" spans="1:21" ht="51.75" customHeight="1" x14ac:dyDescent="0.2">
      <c r="A58" s="2503"/>
      <c r="B58" s="316"/>
      <c r="C58" s="313" t="s">
        <v>906</v>
      </c>
      <c r="D58" s="306"/>
      <c r="E58" s="306"/>
      <c r="F58" s="306"/>
      <c r="G58" s="306"/>
      <c r="H58" s="306"/>
      <c r="I58" s="306"/>
      <c r="J58" s="306"/>
      <c r="K58" s="306"/>
      <c r="L58" s="306"/>
      <c r="M58" s="306"/>
      <c r="N58" s="306"/>
      <c r="O58" s="316" t="s">
        <v>99</v>
      </c>
      <c r="P58" s="320"/>
      <c r="Q58" s="307">
        <f>Q26/Q6</f>
        <v>0.12903145073999994</v>
      </c>
      <c r="R58" s="307">
        <f>R26/R6</f>
        <v>0.14659816176666657</v>
      </c>
      <c r="S58" s="307">
        <f>S26/S6</f>
        <v>4.236479384035087E-2</v>
      </c>
      <c r="T58" s="320"/>
      <c r="U58" s="2503"/>
    </row>
    <row r="59" spans="1:21" ht="31.7" customHeight="1" x14ac:dyDescent="0.2">
      <c r="A59" s="2503"/>
      <c r="B59" s="302"/>
      <c r="C59" s="303" t="s">
        <v>47</v>
      </c>
      <c r="D59" s="303"/>
      <c r="E59" s="303"/>
      <c r="F59" s="303"/>
      <c r="G59" s="303"/>
      <c r="H59" s="303"/>
      <c r="I59" s="303"/>
      <c r="J59" s="303"/>
      <c r="K59" s="303"/>
      <c r="L59" s="303"/>
      <c r="M59" s="303"/>
      <c r="N59" s="303"/>
      <c r="O59" s="302"/>
      <c r="P59" s="304"/>
      <c r="Q59" s="305">
        <f>Q27/Q6</f>
        <v>0.105</v>
      </c>
      <c r="R59" s="305">
        <f>R27/R6</f>
        <v>9.6764705882352947E-2</v>
      </c>
      <c r="S59" s="305">
        <f>S27/S6</f>
        <v>9.0263157894736837E-2</v>
      </c>
      <c r="T59" s="304"/>
      <c r="U59" s="2503"/>
    </row>
    <row r="60" spans="1:21" ht="31.7" customHeight="1" x14ac:dyDescent="0.2">
      <c r="A60" s="2503"/>
      <c r="B60" s="302"/>
      <c r="C60" s="303" t="s">
        <v>144</v>
      </c>
      <c r="D60" s="303"/>
      <c r="E60" s="303"/>
      <c r="F60" s="303"/>
      <c r="G60" s="303"/>
      <c r="H60" s="303"/>
      <c r="I60" s="303"/>
      <c r="J60" s="303"/>
      <c r="K60" s="303"/>
      <c r="L60" s="303"/>
      <c r="M60" s="303"/>
      <c r="N60" s="303"/>
      <c r="O60" s="302"/>
      <c r="P60" s="304"/>
      <c r="Q60" s="305">
        <f>Q28/Q6</f>
        <v>0.10023184888888888</v>
      </c>
      <c r="R60" s="305">
        <f>R28/R6</f>
        <v>8.8439866666666658E-2</v>
      </c>
      <c r="S60" s="305">
        <f>S28/S6</f>
        <v>7.9130407017543855E-2</v>
      </c>
      <c r="T60" s="304"/>
      <c r="U60" s="2503"/>
    </row>
    <row r="61" spans="1:21" ht="31.7" customHeight="1" x14ac:dyDescent="0.2">
      <c r="A61" s="2503"/>
      <c r="B61" s="302"/>
      <c r="C61" s="303" t="s">
        <v>81</v>
      </c>
      <c r="D61" s="303"/>
      <c r="E61" s="303"/>
      <c r="F61" s="303"/>
      <c r="G61" s="303"/>
      <c r="H61" s="303"/>
      <c r="I61" s="303"/>
      <c r="J61" s="303"/>
      <c r="K61" s="303"/>
      <c r="L61" s="303"/>
      <c r="M61" s="303"/>
      <c r="N61" s="303"/>
      <c r="O61" s="302"/>
      <c r="P61" s="304"/>
      <c r="Q61" s="305">
        <f>Q29/Q6</f>
        <v>1.2417253333333333E-2</v>
      </c>
      <c r="R61" s="305">
        <f>R29/R6</f>
        <v>1.0956399999999998E-2</v>
      </c>
      <c r="S61" s="305">
        <f>S29/S6</f>
        <v>9.8030947368421047E-3</v>
      </c>
      <c r="T61" s="304"/>
      <c r="U61" s="2503"/>
    </row>
    <row r="62" spans="1:21" ht="31.7" customHeight="1" x14ac:dyDescent="0.2">
      <c r="A62" s="2503"/>
      <c r="B62" s="302"/>
      <c r="C62" s="303" t="s">
        <v>895</v>
      </c>
      <c r="D62" s="303"/>
      <c r="E62" s="303"/>
      <c r="F62" s="303"/>
      <c r="G62" s="303"/>
      <c r="H62" s="303"/>
      <c r="I62" s="303"/>
      <c r="J62" s="303"/>
      <c r="K62" s="303"/>
      <c r="L62" s="303"/>
      <c r="M62" s="303"/>
      <c r="N62" s="303"/>
      <c r="O62" s="302"/>
      <c r="P62" s="304"/>
      <c r="Q62" s="305">
        <f>Q30/Q6</f>
        <v>1.5679999999999999E-2</v>
      </c>
      <c r="R62" s="305">
        <f>R30/R6</f>
        <v>1.383529411764706E-2</v>
      </c>
      <c r="S62" s="305">
        <f>S30/S6</f>
        <v>1.2378947368421054E-2</v>
      </c>
      <c r="T62" s="304"/>
      <c r="U62" s="2503"/>
    </row>
    <row r="63" spans="1:21" ht="42" customHeight="1" x14ac:dyDescent="0.2">
      <c r="A63" s="2503"/>
      <c r="B63" s="316"/>
      <c r="C63" s="313" t="s">
        <v>141</v>
      </c>
      <c r="D63" s="306"/>
      <c r="E63" s="306"/>
      <c r="F63" s="306"/>
      <c r="G63" s="306"/>
      <c r="H63" s="306"/>
      <c r="I63" s="306"/>
      <c r="J63" s="306"/>
      <c r="K63" s="306"/>
      <c r="L63" s="306"/>
      <c r="M63" s="306"/>
      <c r="N63" s="306"/>
      <c r="O63" s="316"/>
      <c r="P63" s="320"/>
      <c r="Q63" s="307">
        <f>Q59+Q60+Q62</f>
        <v>0.22091184888888887</v>
      </c>
      <c r="R63" s="307">
        <f>R59+R60+R62</f>
        <v>0.19903986666666668</v>
      </c>
      <c r="S63" s="307">
        <f>S59+S60+S62</f>
        <v>0.18177251228070174</v>
      </c>
      <c r="T63" s="320"/>
      <c r="U63" s="2503"/>
    </row>
    <row r="64" spans="1:21" ht="38.25" customHeight="1" x14ac:dyDescent="0.2">
      <c r="A64" s="2503"/>
      <c r="B64" s="315"/>
      <c r="C64" s="535" t="s">
        <v>147</v>
      </c>
      <c r="D64" s="331"/>
      <c r="E64" s="331"/>
      <c r="F64" s="331"/>
      <c r="G64" s="331"/>
      <c r="H64" s="331"/>
      <c r="I64" s="331"/>
      <c r="J64" s="331"/>
      <c r="K64" s="331"/>
      <c r="L64" s="331"/>
      <c r="M64" s="331"/>
      <c r="N64" s="331"/>
      <c r="O64" s="315"/>
      <c r="P64" s="317"/>
      <c r="Q64" s="536">
        <f>'Sbt(b)'!K43/'Sbt(Fol)'!Q6</f>
        <v>-0.10429765148222225</v>
      </c>
      <c r="R64" s="536">
        <f>'Sbt(b)'!M43/'Sbt(Fol)'!R55</f>
        <v>-6.3398104900000099E-2</v>
      </c>
      <c r="S64" s="536">
        <f>'Sbt(b)'!O43/'Sbt(Fol)'!S55</f>
        <v>-0.14921081317719312</v>
      </c>
      <c r="T64" s="317"/>
      <c r="U64" s="2503"/>
    </row>
    <row r="65" spans="1:21" ht="25.5" customHeight="1" x14ac:dyDescent="0.2">
      <c r="A65" s="2503"/>
      <c r="B65" s="302"/>
      <c r="C65" s="85" t="s">
        <v>148</v>
      </c>
      <c r="D65" s="303"/>
      <c r="E65" s="303"/>
      <c r="F65" s="303"/>
      <c r="G65" s="303"/>
      <c r="H65" s="303"/>
      <c r="I65" s="303"/>
      <c r="J65" s="303"/>
      <c r="K65" s="303"/>
      <c r="L65" s="303"/>
      <c r="M65" s="303"/>
      <c r="N65" s="303"/>
      <c r="O65" s="302"/>
      <c r="P65" s="304"/>
      <c r="Q65" s="3806"/>
      <c r="R65" s="322"/>
      <c r="S65" s="322"/>
      <c r="T65" s="304"/>
      <c r="U65" s="2503"/>
    </row>
    <row r="66" spans="1:21" ht="31.7" customHeight="1" x14ac:dyDescent="0.2">
      <c r="A66" s="2503"/>
      <c r="B66" s="315"/>
      <c r="C66" s="538" t="s">
        <v>165</v>
      </c>
      <c r="D66" s="331"/>
      <c r="E66" s="331"/>
      <c r="F66" s="331"/>
      <c r="G66" s="331"/>
      <c r="H66" s="331"/>
      <c r="I66" s="331"/>
      <c r="J66" s="331"/>
      <c r="K66" s="331"/>
      <c r="L66" s="331"/>
      <c r="M66" s="331"/>
      <c r="N66" s="317"/>
      <c r="O66" s="315"/>
      <c r="P66" s="317"/>
      <c r="Q66" s="331"/>
      <c r="R66" s="331"/>
      <c r="S66" s="331"/>
      <c r="T66" s="317"/>
      <c r="U66" s="2503"/>
    </row>
    <row r="67" spans="1:21" ht="31.7" customHeight="1" x14ac:dyDescent="0.2">
      <c r="A67" s="2503"/>
      <c r="B67" s="302"/>
      <c r="C67" s="321"/>
      <c r="D67" s="303"/>
      <c r="E67" s="303" t="s">
        <v>1506</v>
      </c>
      <c r="F67" s="303"/>
      <c r="G67" s="303"/>
      <c r="H67" s="303"/>
      <c r="I67" s="303"/>
      <c r="J67" s="303"/>
      <c r="K67" s="303"/>
      <c r="L67" s="303"/>
      <c r="M67" s="303"/>
      <c r="N67" s="3809" t="s">
        <v>1064</v>
      </c>
      <c r="O67" s="302"/>
      <c r="P67" s="304"/>
      <c r="Q67" s="322">
        <f>'Sbt(b)'!L55</f>
        <v>0.50624899678741753</v>
      </c>
      <c r="R67" s="322">
        <f>'Sbt(b)'!N55</f>
        <v>0.468897812694064</v>
      </c>
      <c r="S67" s="322">
        <f>'Sbt(b)'!P55</f>
        <v>0.54726558281022197</v>
      </c>
      <c r="T67" s="304"/>
      <c r="U67" s="2503"/>
    </row>
    <row r="68" spans="1:21" ht="31.7" customHeight="1" x14ac:dyDescent="0.2">
      <c r="A68" s="2503"/>
      <c r="B68" s="316"/>
      <c r="C68" s="347"/>
      <c r="D68" s="306"/>
      <c r="E68" s="306"/>
      <c r="F68" s="306"/>
      <c r="G68" s="306"/>
      <c r="H68" s="306"/>
      <c r="I68" s="306"/>
      <c r="J68" s="306"/>
      <c r="K68" s="306"/>
      <c r="L68" s="306"/>
      <c r="M68" s="306"/>
      <c r="N68" s="3810" t="str">
        <f>IF(Stammdaten!$AH$13=1,"mit Mwst.","")</f>
        <v>mit Mwst.</v>
      </c>
      <c r="O68" s="316"/>
      <c r="P68" s="320"/>
      <c r="Q68" s="540">
        <f>'Sbt(b)'!L56</f>
        <v>0.55434265148222217</v>
      </c>
      <c r="R68" s="540">
        <f>'Sbt(b)'!N56</f>
        <v>0.51344310490000011</v>
      </c>
      <c r="S68" s="540">
        <f>'Sbt(b)'!P56</f>
        <v>0.59925581317719312</v>
      </c>
      <c r="T68" s="320"/>
      <c r="U68" s="2503"/>
    </row>
    <row r="69" spans="1:21" ht="18.75" customHeight="1" x14ac:dyDescent="0.2">
      <c r="A69" s="2503"/>
      <c r="B69" s="306"/>
      <c r="C69" s="3"/>
      <c r="D69" s="303"/>
      <c r="E69" s="321"/>
      <c r="F69" s="3"/>
      <c r="G69" s="3"/>
      <c r="H69" s="3"/>
      <c r="I69" s="3"/>
      <c r="J69" s="3"/>
      <c r="K69" s="3"/>
      <c r="L69" s="3"/>
      <c r="M69" s="3"/>
      <c r="N69" s="3"/>
      <c r="O69" s="3"/>
      <c r="P69" s="3"/>
      <c r="Q69" s="322"/>
      <c r="R69" s="322"/>
      <c r="S69" s="322"/>
      <c r="T69" s="303"/>
      <c r="U69" s="2503"/>
    </row>
    <row r="70" spans="1:21" ht="32.25" customHeight="1" x14ac:dyDescent="0.2">
      <c r="A70" s="2503"/>
      <c r="B70" s="3075"/>
      <c r="C70" s="3102" t="s">
        <v>154</v>
      </c>
      <c r="D70" s="3102" t="s">
        <v>862</v>
      </c>
      <c r="E70" s="3087"/>
      <c r="F70" s="3087"/>
      <c r="G70" s="3089"/>
      <c r="H70" s="3089"/>
      <c r="I70" s="3089"/>
      <c r="J70" s="3089"/>
      <c r="K70" s="3089"/>
      <c r="L70" s="3089"/>
      <c r="M70" s="3089"/>
      <c r="N70" s="3089"/>
      <c r="O70" s="3089"/>
      <c r="P70" s="3089"/>
      <c r="Q70" s="3090"/>
      <c r="R70" s="3091"/>
      <c r="S70" s="3092" t="str">
        <f>'Sbt(b)'!P2</f>
        <v>Milchkuh; Holstein-Sbt.</v>
      </c>
      <c r="T70" s="3807"/>
      <c r="U70" s="2503"/>
    </row>
    <row r="71" spans="1:21" ht="27.75" customHeight="1" x14ac:dyDescent="0.2">
      <c r="A71" s="2503"/>
      <c r="B71" s="3081"/>
      <c r="C71" s="3094" t="s">
        <v>95</v>
      </c>
      <c r="D71" s="3093" t="s">
        <v>156</v>
      </c>
      <c r="E71" s="3095"/>
      <c r="F71" s="3095"/>
      <c r="G71" s="3095"/>
      <c r="H71" s="3095"/>
      <c r="I71" s="3095"/>
      <c r="J71" s="3095"/>
      <c r="K71" s="3095"/>
      <c r="L71" s="3095"/>
      <c r="M71" s="3095"/>
      <c r="N71" s="3095"/>
      <c r="O71" s="3095"/>
      <c r="P71" s="3095"/>
      <c r="Q71" s="3096" t="str">
        <f>Q4</f>
        <v xml:space="preserve">  Kalenderjahr:</v>
      </c>
      <c r="R71" s="3095"/>
      <c r="S71" s="3095">
        <f>'Sbt(b)'!P4</f>
        <v>2022</v>
      </c>
      <c r="T71" s="3808"/>
      <c r="U71" s="2503"/>
    </row>
    <row r="72" spans="1:21" s="4" customFormat="1" ht="7.5" customHeight="1" x14ac:dyDescent="0.2">
      <c r="A72" s="2503"/>
      <c r="B72" s="323"/>
      <c r="C72" s="20"/>
      <c r="D72" s="20"/>
      <c r="E72" s="20"/>
      <c r="F72" s="20"/>
      <c r="G72" s="20"/>
      <c r="H72" s="20"/>
      <c r="I72" s="20"/>
      <c r="J72" s="20"/>
      <c r="K72" s="20"/>
      <c r="L72" s="20"/>
      <c r="M72" s="20"/>
      <c r="N72" s="20"/>
      <c r="O72" s="20"/>
      <c r="P72" s="20"/>
      <c r="Q72" s="20"/>
      <c r="R72" s="20"/>
      <c r="S72" s="20"/>
      <c r="T72" s="309"/>
      <c r="U72" s="2503"/>
    </row>
    <row r="73" spans="1:21" ht="30.2" customHeight="1" x14ac:dyDescent="0.2">
      <c r="A73" s="2503"/>
      <c r="B73" s="329"/>
      <c r="C73" s="324" t="s">
        <v>1077</v>
      </c>
      <c r="D73" s="325"/>
      <c r="E73" s="325"/>
      <c r="F73" s="325"/>
      <c r="G73" s="325"/>
      <c r="H73" s="325"/>
      <c r="I73" s="325"/>
      <c r="J73" s="325"/>
      <c r="K73" s="325"/>
      <c r="L73" s="325"/>
      <c r="M73" s="325"/>
      <c r="N73" s="325"/>
      <c r="O73" s="329" t="s">
        <v>98</v>
      </c>
      <c r="P73" s="330"/>
      <c r="Q73" s="326">
        <f>'Sbt(b)'!K7</f>
        <v>7500</v>
      </c>
      <c r="R73" s="326">
        <f>'Sbt(b)'!M7</f>
        <v>8500</v>
      </c>
      <c r="S73" s="326">
        <f>'Sbt(b)'!O7</f>
        <v>9500</v>
      </c>
      <c r="T73" s="330"/>
      <c r="U73" s="2503"/>
    </row>
    <row r="74" spans="1:21" ht="30.2" customHeight="1" x14ac:dyDescent="0.2">
      <c r="A74" s="2503"/>
      <c r="B74" s="318"/>
      <c r="C74" s="327" t="str">
        <f>C7</f>
        <v>Milchpreis  (inkl. Mwst. )</v>
      </c>
      <c r="D74" s="310"/>
      <c r="E74" s="310"/>
      <c r="F74" s="310"/>
      <c r="G74" s="310"/>
      <c r="H74" s="310"/>
      <c r="I74" s="310"/>
      <c r="J74" s="310"/>
      <c r="K74" s="310"/>
      <c r="L74" s="310"/>
      <c r="M74" s="310"/>
      <c r="N74" s="310"/>
      <c r="O74" s="318" t="s">
        <v>99</v>
      </c>
      <c r="P74" s="319"/>
      <c r="Q74" s="328">
        <f>'Sbt(b)'!K8</f>
        <v>0.45004499999999997</v>
      </c>
      <c r="R74" s="328">
        <f>'Sbt(b)'!M8</f>
        <v>0.45004499999999997</v>
      </c>
      <c r="S74" s="328">
        <f>'Sbt(b)'!O8</f>
        <v>0.45004499999999997</v>
      </c>
      <c r="T74" s="319"/>
      <c r="U74" s="2503"/>
    </row>
    <row r="75" spans="1:21" ht="38.25" customHeight="1" x14ac:dyDescent="0.2">
      <c r="A75" s="2503"/>
      <c r="B75" s="302"/>
      <c r="C75" s="333" t="s">
        <v>157</v>
      </c>
      <c r="D75" s="303"/>
      <c r="E75" s="3"/>
      <c r="F75" s="346" t="s">
        <v>158</v>
      </c>
      <c r="G75" s="303" t="s">
        <v>159</v>
      </c>
      <c r="H75"/>
      <c r="I75" s="303"/>
      <c r="J75" s="303"/>
      <c r="K75" s="303"/>
      <c r="L75" s="303"/>
      <c r="M75" s="303"/>
      <c r="N75" s="303"/>
      <c r="O75" s="302" t="s">
        <v>160</v>
      </c>
      <c r="P75" s="304"/>
      <c r="Q75" s="530">
        <f>'Sbt(b)'!K48</f>
        <v>2.5026879603143612</v>
      </c>
      <c r="R75" s="530">
        <f>'Sbt(b)'!M48</f>
        <v>7.6251834612480662</v>
      </c>
      <c r="S75" s="530">
        <f>'Sbt(b)'!O48</f>
        <v>-7.4002307530348039</v>
      </c>
      <c r="T75" s="304"/>
      <c r="U75" s="2503"/>
    </row>
    <row r="76" spans="1:21" s="359" customFormat="1" ht="38.25" customHeight="1" x14ac:dyDescent="0.2">
      <c r="A76" s="2503"/>
      <c r="B76" s="355"/>
      <c r="C76" s="356" t="s">
        <v>244</v>
      </c>
      <c r="D76" s="15"/>
      <c r="E76" s="357"/>
      <c r="F76" s="357"/>
      <c r="G76" s="357"/>
      <c r="H76" s="357"/>
      <c r="I76" s="357"/>
      <c r="J76" s="357"/>
      <c r="K76" s="357"/>
      <c r="L76" s="357"/>
      <c r="M76" s="357"/>
      <c r="N76" s="357"/>
      <c r="O76" s="355"/>
      <c r="P76" s="358"/>
      <c r="Q76" s="357"/>
      <c r="R76" s="357"/>
      <c r="S76" s="357"/>
      <c r="T76" s="358"/>
      <c r="U76" s="2503"/>
    </row>
    <row r="77" spans="1:21" ht="38.25" customHeight="1" x14ac:dyDescent="0.2">
      <c r="A77" s="2503"/>
      <c r="B77" s="302"/>
      <c r="C77" s="333" t="s">
        <v>161</v>
      </c>
      <c r="D77" s="303"/>
      <c r="E77" s="434"/>
      <c r="F77" s="346" t="s">
        <v>158</v>
      </c>
      <c r="G77" s="303" t="s">
        <v>162</v>
      </c>
      <c r="H77"/>
      <c r="I77" s="333"/>
      <c r="J77" s="303"/>
      <c r="K77" s="303"/>
      <c r="L77" s="303"/>
      <c r="M77" s="303"/>
      <c r="N77" s="303"/>
      <c r="O77" s="302" t="s">
        <v>163</v>
      </c>
      <c r="P77" s="304"/>
      <c r="Q77" s="334">
        <f>'Sbt(b)'!K49</f>
        <v>-30.493519450000349</v>
      </c>
      <c r="R77" s="334">
        <f>'Sbt(b)'!M49</f>
        <v>212.85497501666578</v>
      </c>
      <c r="S77" s="334">
        <f>'Sbt(b)'!O49</f>
        <v>-665.76385851666805</v>
      </c>
      <c r="T77" s="304"/>
      <c r="U77" s="2503"/>
    </row>
    <row r="78" spans="1:21" s="359" customFormat="1" ht="38.25" customHeight="1" x14ac:dyDescent="0.2">
      <c r="A78" s="2503"/>
      <c r="B78" s="355"/>
      <c r="C78" s="356" t="s">
        <v>171</v>
      </c>
      <c r="D78" s="15"/>
      <c r="E78" s="357"/>
      <c r="F78" s="357"/>
      <c r="G78" s="357"/>
      <c r="H78" s="357"/>
      <c r="I78" s="357"/>
      <c r="J78" s="357"/>
      <c r="K78" s="357"/>
      <c r="L78" s="357"/>
      <c r="M78" s="357"/>
      <c r="N78" s="357"/>
      <c r="O78" s="355"/>
      <c r="P78" s="358"/>
      <c r="Q78" s="357"/>
      <c r="R78" s="357"/>
      <c r="S78" s="357"/>
      <c r="T78" s="358"/>
      <c r="U78" s="2503"/>
    </row>
    <row r="79" spans="1:21" ht="42" customHeight="1" x14ac:dyDescent="0.35">
      <c r="A79" s="2503"/>
      <c r="B79" s="315"/>
      <c r="C79" s="351" t="s">
        <v>165</v>
      </c>
      <c r="D79" s="331"/>
      <c r="E79" s="331"/>
      <c r="F79" s="331"/>
      <c r="G79" s="331"/>
      <c r="H79" s="331"/>
      <c r="I79" s="331"/>
      <c r="J79" s="331"/>
      <c r="K79" s="331"/>
      <c r="L79" s="331"/>
      <c r="M79" s="331"/>
      <c r="N79" s="331"/>
      <c r="O79" s="348"/>
      <c r="P79" s="317"/>
      <c r="Q79" s="331"/>
      <c r="R79" s="331"/>
      <c r="S79" s="331"/>
      <c r="T79" s="317"/>
      <c r="U79" s="2503"/>
    </row>
    <row r="80" spans="1:21" ht="33" customHeight="1" x14ac:dyDescent="0.2">
      <c r="A80" s="2503"/>
      <c r="B80" s="302"/>
      <c r="C80" s="321" t="s">
        <v>168</v>
      </c>
      <c r="D80" s="303"/>
      <c r="E80" s="303"/>
      <c r="F80" s="303"/>
      <c r="G80" s="303"/>
      <c r="H80" s="303"/>
      <c r="I80" s="303"/>
      <c r="J80" s="303"/>
      <c r="K80" s="303"/>
      <c r="L80" s="303"/>
      <c r="M80" s="303"/>
      <c r="N80" s="3135" t="s">
        <v>1064</v>
      </c>
      <c r="O80" s="302" t="s">
        <v>99</v>
      </c>
      <c r="P80" s="304"/>
      <c r="Q80" s="3137">
        <f>'Sbt(b)'!L55</f>
        <v>0.50624899678741753</v>
      </c>
      <c r="R80" s="3138">
        <f>'Sbt(b)'!N55</f>
        <v>0.468897812694064</v>
      </c>
      <c r="S80" s="3138">
        <f>'Sbt(b)'!P55</f>
        <v>0.54726558281022197</v>
      </c>
      <c r="T80" s="304"/>
      <c r="U80" s="2503"/>
    </row>
    <row r="81" spans="1:21" ht="32.65" customHeight="1" x14ac:dyDescent="0.2">
      <c r="A81" s="2503"/>
      <c r="B81" s="316"/>
      <c r="C81" s="306"/>
      <c r="D81" s="306"/>
      <c r="E81" s="347"/>
      <c r="F81" s="306"/>
      <c r="G81" s="306"/>
      <c r="H81" s="306"/>
      <c r="I81" s="306"/>
      <c r="J81" s="306"/>
      <c r="K81" s="306"/>
      <c r="L81" s="306"/>
      <c r="M81" s="306"/>
      <c r="N81" s="3136" t="str">
        <f>IF(Stammdaten!$AH$13=1,"mit Mwst.","")</f>
        <v>mit Mwst.</v>
      </c>
      <c r="O81" s="316"/>
      <c r="P81" s="320"/>
      <c r="Q81" s="3804">
        <f>'Sbt(b)'!L56</f>
        <v>0.55434265148222217</v>
      </c>
      <c r="R81" s="307">
        <f>'Sbt(b)'!N56</f>
        <v>0.51344310490000011</v>
      </c>
      <c r="S81" s="307">
        <f>'Sbt(b)'!P56</f>
        <v>0.59925581317719312</v>
      </c>
      <c r="T81" s="320"/>
      <c r="U81" s="2503"/>
    </row>
    <row r="82" spans="1:21" ht="32.25" customHeight="1" x14ac:dyDescent="0.2">
      <c r="A82" s="2503"/>
      <c r="B82" s="3075"/>
      <c r="C82" s="3102" t="s">
        <v>154</v>
      </c>
      <c r="D82" s="3102" t="s">
        <v>862</v>
      </c>
      <c r="E82" s="3089"/>
      <c r="F82" s="3089"/>
      <c r="G82" s="3089"/>
      <c r="H82" s="3089"/>
      <c r="I82" s="3089"/>
      <c r="J82" s="3089"/>
      <c r="K82" s="3089"/>
      <c r="L82" s="3089"/>
      <c r="M82" s="3089"/>
      <c r="N82" s="3089"/>
      <c r="O82" s="3089"/>
      <c r="P82" s="3089"/>
      <c r="Q82" s="3090"/>
      <c r="R82" s="3091"/>
      <c r="S82" s="3092" t="str">
        <f>'Sbt(b)'!P2</f>
        <v>Milchkuh; Holstein-Sbt.</v>
      </c>
      <c r="T82" s="3807"/>
      <c r="U82" s="2503"/>
    </row>
    <row r="83" spans="1:21" ht="27" customHeight="1" x14ac:dyDescent="0.2">
      <c r="A83" s="2503"/>
      <c r="B83" s="3081"/>
      <c r="C83" s="3094" t="s">
        <v>149</v>
      </c>
      <c r="D83" s="3093" t="s">
        <v>169</v>
      </c>
      <c r="E83" s="3095"/>
      <c r="F83" s="3095"/>
      <c r="G83" s="3095"/>
      <c r="H83" s="3095"/>
      <c r="I83" s="3095"/>
      <c r="J83" s="3095"/>
      <c r="K83" s="3095"/>
      <c r="L83" s="3095"/>
      <c r="M83" s="3095"/>
      <c r="N83" s="3095"/>
      <c r="O83" s="3095"/>
      <c r="P83" s="3095"/>
      <c r="Q83" s="3096" t="str">
        <f>Q4</f>
        <v xml:space="preserve">  Kalenderjahr:</v>
      </c>
      <c r="R83" s="3095"/>
      <c r="S83" s="3095">
        <f>'Sbt(b)'!P4</f>
        <v>2022</v>
      </c>
      <c r="T83" s="3808"/>
      <c r="U83" s="2503"/>
    </row>
    <row r="84" spans="1:21" ht="27" customHeight="1" x14ac:dyDescent="0.2">
      <c r="A84" s="2503"/>
      <c r="B84" s="3081"/>
      <c r="C84" s="3095"/>
      <c r="D84" s="3103" t="s">
        <v>142</v>
      </c>
      <c r="E84" s="3095"/>
      <c r="F84" s="3095"/>
      <c r="G84" s="3095"/>
      <c r="H84" s="3095"/>
      <c r="I84" s="3095"/>
      <c r="J84" s="3095"/>
      <c r="K84" s="3095"/>
      <c r="L84" s="3095"/>
      <c r="M84" s="3095"/>
      <c r="N84" s="3095"/>
      <c r="O84" s="3095"/>
      <c r="P84" s="3095"/>
      <c r="Q84" s="3095"/>
      <c r="R84" s="3095"/>
      <c r="S84" s="3095"/>
      <c r="T84" s="3808"/>
      <c r="U84" s="2503"/>
    </row>
    <row r="85" spans="1:21" s="4" customFormat="1" ht="12.75" x14ac:dyDescent="0.2">
      <c r="A85" s="2503"/>
      <c r="B85" s="101"/>
      <c r="C85" s="3"/>
      <c r="D85" s="3"/>
      <c r="E85" s="3"/>
      <c r="F85" s="3"/>
      <c r="G85" s="3"/>
      <c r="H85" s="3"/>
      <c r="I85" s="3"/>
      <c r="J85" s="3"/>
      <c r="K85" s="3"/>
      <c r="L85" s="3"/>
      <c r="M85" s="3"/>
      <c r="N85" s="3"/>
      <c r="O85" s="3"/>
      <c r="P85" s="3"/>
      <c r="Q85" s="3"/>
      <c r="R85" s="3"/>
      <c r="S85" s="3"/>
      <c r="T85" s="349"/>
      <c r="U85" s="2503"/>
    </row>
    <row r="86" spans="1:21" ht="30.2" customHeight="1" x14ac:dyDescent="0.2">
      <c r="A86" s="2503"/>
      <c r="B86" s="329"/>
      <c r="C86" s="324" t="s">
        <v>1077</v>
      </c>
      <c r="D86" s="325"/>
      <c r="E86" s="325"/>
      <c r="F86" s="325"/>
      <c r="G86" s="325"/>
      <c r="H86" s="325"/>
      <c r="I86" s="325"/>
      <c r="J86" s="325"/>
      <c r="K86" s="325"/>
      <c r="L86" s="325"/>
      <c r="M86" s="325"/>
      <c r="N86" s="325"/>
      <c r="O86" s="329" t="s">
        <v>98</v>
      </c>
      <c r="P86" s="330"/>
      <c r="Q86" s="326">
        <f>'Sbt(b)'!K7</f>
        <v>7500</v>
      </c>
      <c r="R86" s="326">
        <f>'Sbt(b)'!M7</f>
        <v>8500</v>
      </c>
      <c r="S86" s="326">
        <f>'Sbt(b)'!O7</f>
        <v>9500</v>
      </c>
      <c r="T86" s="330"/>
      <c r="U86" s="2503"/>
    </row>
    <row r="87" spans="1:21" ht="30.2" customHeight="1" x14ac:dyDescent="0.2">
      <c r="A87" s="2503"/>
      <c r="B87" s="318"/>
      <c r="C87" s="327" t="str">
        <f>C7</f>
        <v>Milchpreis  (inkl. Mwst. )</v>
      </c>
      <c r="D87" s="310"/>
      <c r="E87" s="310"/>
      <c r="F87" s="310"/>
      <c r="G87" s="310"/>
      <c r="H87" s="310"/>
      <c r="I87" s="310"/>
      <c r="J87" s="310"/>
      <c r="K87" s="310"/>
      <c r="L87" s="310"/>
      <c r="M87" s="310"/>
      <c r="N87" s="310"/>
      <c r="O87" s="318" t="s">
        <v>99</v>
      </c>
      <c r="P87" s="319"/>
      <c r="Q87" s="328">
        <f>'Sbt(b)'!K8</f>
        <v>0.45004499999999997</v>
      </c>
      <c r="R87" s="328">
        <f>'Sbt(b)'!M8</f>
        <v>0.45004499999999997</v>
      </c>
      <c r="S87" s="328">
        <f>'Sbt(b)'!O8</f>
        <v>0.45004499999999997</v>
      </c>
      <c r="T87" s="319"/>
      <c r="U87" s="2503"/>
    </row>
    <row r="88" spans="1:21" x14ac:dyDescent="0.2">
      <c r="A88" s="2503"/>
      <c r="B88" s="315"/>
      <c r="C88" s="331"/>
      <c r="D88" s="331"/>
      <c r="E88" s="331"/>
      <c r="F88" s="331"/>
      <c r="G88" s="331"/>
      <c r="H88" s="331"/>
      <c r="I88" s="331"/>
      <c r="J88" s="331"/>
      <c r="K88" s="331"/>
      <c r="L88" s="331"/>
      <c r="M88" s="331"/>
      <c r="N88" s="331"/>
      <c r="O88" s="315"/>
      <c r="P88" s="317"/>
      <c r="Q88" s="331"/>
      <c r="R88" s="331"/>
      <c r="S88" s="331"/>
      <c r="T88" s="317"/>
      <c r="U88" s="2503"/>
    </row>
    <row r="89" spans="1:21" ht="38.25" customHeight="1" x14ac:dyDescent="0.2">
      <c r="A89" s="2503"/>
      <c r="B89" s="302"/>
      <c r="C89" s="333" t="s">
        <v>157</v>
      </c>
      <c r="D89" s="303"/>
      <c r="E89" s="3"/>
      <c r="F89" s="350" t="s">
        <v>158</v>
      </c>
      <c r="G89" s="303" t="s">
        <v>159</v>
      </c>
      <c r="H89"/>
      <c r="I89" s="303"/>
      <c r="J89" s="303"/>
      <c r="K89" s="303"/>
      <c r="L89" s="303"/>
      <c r="M89" s="303"/>
      <c r="N89" s="303"/>
      <c r="O89" s="302" t="s">
        <v>160</v>
      </c>
      <c r="P89" s="304"/>
      <c r="Q89" s="530">
        <f>('Sbt(b)'!K43+'Sbt(b)'!Y37+'Sbt(b)'!K37+'Sbt(b)'!K38)/'Sbt(b)'!X37</f>
        <v>16.915364494622612</v>
      </c>
      <c r="R89" s="530">
        <f>('Sbt(b)'!M43+'Sbt(b)'!AA37+'Sbt(b)'!M37+'Sbt(b)'!M38)/'Sbt(b)'!AB37</f>
        <v>20.514884392152045</v>
      </c>
      <c r="S89" s="530">
        <f>('Sbt(b)'!O43+'Sbt(b)'!AC37+'Sbt(b)'!O37+'Sbt(b)'!O38)/'Sbt(b)'!AB37</f>
        <v>5.8050145798120054</v>
      </c>
      <c r="T89" s="304"/>
      <c r="U89" s="2503"/>
    </row>
    <row r="90" spans="1:21" s="359" customFormat="1" ht="38.25" customHeight="1" x14ac:dyDescent="0.2">
      <c r="A90" s="2503"/>
      <c r="B90" s="355"/>
      <c r="C90" s="356" t="s">
        <v>1307</v>
      </c>
      <c r="D90" s="15"/>
      <c r="E90" s="357"/>
      <c r="F90" s="357"/>
      <c r="G90" s="357"/>
      <c r="H90" s="357"/>
      <c r="I90" s="357"/>
      <c r="J90" s="357"/>
      <c r="K90" s="357"/>
      <c r="L90" s="357"/>
      <c r="M90" s="357"/>
      <c r="N90" s="357"/>
      <c r="O90" s="355"/>
      <c r="P90" s="358"/>
      <c r="Q90" s="357"/>
      <c r="R90" s="357"/>
      <c r="S90" s="357"/>
      <c r="T90" s="358"/>
      <c r="U90" s="2503"/>
    </row>
    <row r="91" spans="1:21" s="4" customFormat="1" ht="44.45" customHeight="1" x14ac:dyDescent="0.35">
      <c r="A91" s="2503"/>
      <c r="B91" s="348"/>
      <c r="C91" s="351" t="s">
        <v>165</v>
      </c>
      <c r="D91" s="331"/>
      <c r="E91" s="331"/>
      <c r="F91" s="331"/>
      <c r="G91" s="331"/>
      <c r="H91" s="331"/>
      <c r="I91" s="331"/>
      <c r="J91" s="331"/>
      <c r="K91" s="331"/>
      <c r="L91" s="331"/>
      <c r="M91" s="331"/>
      <c r="N91" s="331"/>
      <c r="O91" s="348"/>
      <c r="P91" s="317"/>
      <c r="Q91" s="331"/>
      <c r="R91" s="331"/>
      <c r="S91" s="331"/>
      <c r="T91" s="345"/>
      <c r="U91" s="2503"/>
    </row>
    <row r="92" spans="1:21" s="4" customFormat="1" ht="44.45" customHeight="1" x14ac:dyDescent="0.2">
      <c r="A92" s="2503"/>
      <c r="B92" s="101"/>
      <c r="C92" s="321" t="s">
        <v>1511</v>
      </c>
      <c r="D92" s="303"/>
      <c r="E92" s="303"/>
      <c r="F92" s="303"/>
      <c r="G92" s="303"/>
      <c r="H92" s="303"/>
      <c r="I92" s="303"/>
      <c r="J92" s="303"/>
      <c r="K92" s="303"/>
      <c r="L92" s="303"/>
      <c r="M92" s="303"/>
      <c r="N92" s="3135" t="s">
        <v>1064</v>
      </c>
      <c r="O92" s="302" t="s">
        <v>99</v>
      </c>
      <c r="P92" s="349"/>
      <c r="Q92" s="530">
        <f>(('Sbt(b)'!K52-'Sbt(b)'!K37-'Sbt(b)'!K38-'Sbt(b)'!K53)/'Sbt(b)'!K7)/Stammdaten!S7</f>
        <v>0.41471306172907152</v>
      </c>
      <c r="R92" s="530">
        <f>(('Sbt(b)'!M52-'Sbt(b)'!M37-'Sbt(b)'!M38-'Sbt(b)'!M53)/'Sbt(b)'!M7)/Stammdaten!S7</f>
        <v>0.38813081117199399</v>
      </c>
      <c r="S92" s="530">
        <f>(('Sbt(b)'!O52-'Sbt(b)'!O37-'Sbt(b)'!O38-'Sbt(b)'!O53)/'Sbt(b)'!O7)/Stammdaten!S7</f>
        <v>0.47500037092205405</v>
      </c>
      <c r="T92" s="349"/>
      <c r="U92" s="2503"/>
    </row>
    <row r="93" spans="1:21" s="4" customFormat="1" ht="33" customHeight="1" x14ac:dyDescent="0.2">
      <c r="A93" s="2503"/>
      <c r="B93" s="323"/>
      <c r="C93" s="20"/>
      <c r="D93" s="20"/>
      <c r="E93" s="20"/>
      <c r="F93" s="20"/>
      <c r="G93" s="20"/>
      <c r="H93" s="20"/>
      <c r="I93" s="20"/>
      <c r="J93" s="20"/>
      <c r="K93" s="20"/>
      <c r="L93" s="20"/>
      <c r="M93" s="20"/>
      <c r="N93" s="3136" t="str">
        <f>IF(Stammdaten!$AH$13=1,"mit Mwst.","")</f>
        <v>mit Mwst.</v>
      </c>
      <c r="O93" s="323"/>
      <c r="P93" s="309"/>
      <c r="Q93" s="3804">
        <f>IF(Stammdaten!AH13=1,('Sbt(b)'!K52-'Sbt(b)'!K37-'Sbt(b)'!K38-'Sbt(b)'!K53)/'Sbt(b)'!K7,"")</f>
        <v>0.45411080259333331</v>
      </c>
      <c r="R93" s="307">
        <f>IF(Stammdaten!AH13=1,('Sbt(b)'!M52-'Sbt(b)'!M37-'Sbt(b)'!M38-'Sbt(b)'!M53)/'Sbt(b)'!M7,"")</f>
        <v>0.42500323823333341</v>
      </c>
      <c r="S93" s="307">
        <f>IF(Stammdaten!AH13=1,('Sbt(b)'!O52-'Sbt(b)'!O37-'Sbt(b)'!O38-'Sbt(b)'!O53)/'Sbt(b)'!O7,"")</f>
        <v>0.5201254061596492</v>
      </c>
      <c r="T93" s="309"/>
      <c r="U93" s="2503"/>
    </row>
    <row r="94" spans="1:21" s="4" customFormat="1" ht="12.75" x14ac:dyDescent="0.2">
      <c r="B94" s="2503"/>
      <c r="C94" s="2503"/>
      <c r="D94" s="2503"/>
      <c r="E94" s="2503"/>
      <c r="F94" s="2503"/>
      <c r="G94" s="2503"/>
      <c r="H94" s="2503"/>
      <c r="I94" s="2503"/>
      <c r="J94" s="2503"/>
      <c r="K94" s="2503"/>
      <c r="L94" s="2503"/>
      <c r="M94" s="2503"/>
      <c r="N94" s="2503"/>
      <c r="O94" s="2503"/>
      <c r="P94" s="2503"/>
      <c r="Q94" s="2503"/>
      <c r="R94" s="2503"/>
      <c r="S94" s="2503"/>
      <c r="T94" s="2503"/>
      <c r="U94" s="2503"/>
    </row>
    <row r="95" spans="1:21" s="4" customFormat="1" ht="12.75" x14ac:dyDescent="0.2"/>
    <row r="96" spans="1:21" s="4" customFormat="1" ht="12.75" x14ac:dyDescent="0.2"/>
    <row r="97" s="4" customFormat="1" ht="12.75" x14ac:dyDescent="0.2"/>
    <row r="98" s="4" customFormat="1" ht="12.75" x14ac:dyDescent="0.2"/>
    <row r="99" s="4" customFormat="1" ht="12.75" x14ac:dyDescent="0.2"/>
    <row r="100" s="4" customFormat="1" ht="12.75" x14ac:dyDescent="0.2"/>
    <row r="101" s="4" customFormat="1" ht="12.75" x14ac:dyDescent="0.2"/>
    <row r="102" s="4" customFormat="1" ht="12.75" x14ac:dyDescent="0.2"/>
    <row r="103" s="4" customFormat="1" ht="12.75" x14ac:dyDescent="0.2"/>
    <row r="104" s="4" customFormat="1" ht="12.75" x14ac:dyDescent="0.2"/>
    <row r="105" s="4" customFormat="1" ht="12.75" x14ac:dyDescent="0.2"/>
    <row r="106" s="4" customFormat="1" ht="12.75" x14ac:dyDescent="0.2"/>
    <row r="107" s="4" customFormat="1" ht="12.75" x14ac:dyDescent="0.2"/>
    <row r="108" s="4" customFormat="1" ht="12.75" x14ac:dyDescent="0.2"/>
    <row r="109" s="4" customFormat="1" ht="12.75" x14ac:dyDescent="0.2"/>
    <row r="110" s="4" customFormat="1" ht="12.75" x14ac:dyDescent="0.2"/>
    <row r="111" s="4" customFormat="1" ht="12.75" x14ac:dyDescent="0.2"/>
    <row r="112" s="4" customFormat="1" ht="12.75" x14ac:dyDescent="0.2"/>
    <row r="113" s="4" customFormat="1" ht="12.75" x14ac:dyDescent="0.2"/>
    <row r="114" s="4" customFormat="1" ht="12.75" x14ac:dyDescent="0.2"/>
    <row r="115" s="4" customFormat="1" ht="12.75" x14ac:dyDescent="0.2"/>
    <row r="116" s="4" customFormat="1" ht="12.75" x14ac:dyDescent="0.2"/>
    <row r="117" s="4" customFormat="1" ht="12.75" x14ac:dyDescent="0.2"/>
    <row r="118" s="4" customFormat="1" ht="12.75" x14ac:dyDescent="0.2"/>
    <row r="119" s="4" customFormat="1" ht="12.75" x14ac:dyDescent="0.2"/>
    <row r="120" s="4" customFormat="1" ht="12.75" x14ac:dyDescent="0.2"/>
    <row r="121" s="4" customFormat="1" ht="12.75" x14ac:dyDescent="0.2"/>
    <row r="122" s="4" customFormat="1" ht="12.75" x14ac:dyDescent="0.2"/>
    <row r="123" s="4" customFormat="1" ht="12.75" x14ac:dyDescent="0.2"/>
    <row r="124" s="4" customFormat="1" ht="12.75" x14ac:dyDescent="0.2"/>
    <row r="125" s="4" customFormat="1" ht="12.75" x14ac:dyDescent="0.2"/>
    <row r="126" s="4" customFormat="1" ht="12.75" x14ac:dyDescent="0.2"/>
    <row r="127" s="4" customFormat="1" ht="12.75" x14ac:dyDescent="0.2"/>
    <row r="128" s="4" customFormat="1" ht="12.75" x14ac:dyDescent="0.2"/>
    <row r="129" s="4" customFormat="1" ht="12.75" x14ac:dyDescent="0.2"/>
    <row r="130" s="4" customFormat="1" ht="12.75" x14ac:dyDescent="0.2"/>
    <row r="131" s="4" customFormat="1" ht="12.75" x14ac:dyDescent="0.2"/>
    <row r="132" s="4" customFormat="1" ht="12.75" x14ac:dyDescent="0.2"/>
    <row r="133" s="4" customFormat="1" ht="12.75" x14ac:dyDescent="0.2"/>
    <row r="134" s="4" customFormat="1" ht="12.75" x14ac:dyDescent="0.2"/>
    <row r="135" s="4" customFormat="1" ht="12.75" x14ac:dyDescent="0.2"/>
    <row r="136" s="4" customFormat="1" ht="12.75" x14ac:dyDescent="0.2"/>
    <row r="137" s="4" customFormat="1" ht="12.75" x14ac:dyDescent="0.2"/>
    <row r="138" s="4" customFormat="1" ht="12.75" x14ac:dyDescent="0.2"/>
  </sheetData>
  <sheetProtection sheet="1" objects="1" scenarios="1"/>
  <phoneticPr fontId="0" type="noConversion"/>
  <printOptions horizontalCentered="1" verticalCentered="1"/>
  <pageMargins left="0.78740157480314965" right="0.78740157480314965" top="0.59055118110236227" bottom="0.86614173228346458" header="0.47244094488188981" footer="0.39370078740157483"/>
  <pageSetup paperSize="9" scale="88" firstPageNumber="24" orientation="landscape" useFirstPageNumber="1" verticalDpi="300" r:id="rId1"/>
  <headerFooter alignWithMargins="0">
    <oddFooter>&amp;LLEL Schwäb. Gmünd;
&amp;D&amp;C&amp;"Arial,Fett"&amp;12&amp;P&amp;RKalkulationsdaten Milchviehhaltung;
&amp;F  &amp;A</oddFooter>
  </headerFooter>
  <rowBreaks count="5" manualBreakCount="5">
    <brk id="18" min="1" max="19" man="1"/>
    <brk id="33" min="1" max="19" man="1"/>
    <brk id="50" min="1" max="19" man="1"/>
    <brk id="68" max="16383" man="1"/>
    <brk id="81" min="1" max="19" man="1"/>
  </rowBreaks>
  <colBreaks count="1" manualBreakCount="1">
    <brk id="20" max="1048575" man="1"/>
  </col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tabColor theme="2" tint="-0.499984740745262"/>
    <pageSetUpPr fitToPage="1"/>
  </sheetPr>
  <dimension ref="A1:BH113"/>
  <sheetViews>
    <sheetView showGridLines="0" showZeros="0" workbookViewId="0">
      <pane xSplit="9" ySplit="11" topLeftCell="J18" activePane="bottomRight" state="frozen"/>
      <selection activeCell="Q27" sqref="Q27"/>
      <selection pane="topRight" activeCell="Q27" sqref="Q27"/>
      <selection pane="bottomLeft" activeCell="Q27" sqref="Q27"/>
      <selection pane="bottomRight" activeCell="U84" sqref="U84"/>
    </sheetView>
  </sheetViews>
  <sheetFormatPr baseColWidth="10" defaultColWidth="11.5703125" defaultRowHeight="12.75" x14ac:dyDescent="0.2"/>
  <cols>
    <col min="1" max="1" width="1.140625" style="105" customWidth="1"/>
    <col min="2" max="2" width="1" style="226" customWidth="1"/>
    <col min="3" max="3" width="1.42578125" style="111" customWidth="1"/>
    <col min="4" max="4" width="4.85546875" style="111" customWidth="1"/>
    <col min="5" max="5" width="10.85546875" style="111" customWidth="1"/>
    <col min="6" max="6" width="8.28515625" style="111" customWidth="1"/>
    <col min="7" max="7" width="8.85546875" style="111" customWidth="1"/>
    <col min="8" max="8" width="18.140625" style="111" customWidth="1"/>
    <col min="9" max="9" width="10.140625" style="112" customWidth="1"/>
    <col min="10" max="10" width="12.140625" style="111" customWidth="1"/>
    <col min="11" max="11" width="12.140625" style="152" customWidth="1"/>
    <col min="12" max="12" width="12.140625" style="111" customWidth="1"/>
    <col min="13" max="13" width="12.140625" style="152" customWidth="1"/>
    <col min="14" max="14" width="12.140625" style="111" customWidth="1"/>
    <col min="15" max="15" width="12.140625" style="152" customWidth="1"/>
    <col min="16" max="16" width="2" style="105" customWidth="1"/>
    <col min="17" max="18" width="9.28515625" style="244" customWidth="1"/>
    <col min="19" max="19" width="11.5703125" style="244" customWidth="1"/>
    <col min="20" max="20" width="4.85546875" style="244" customWidth="1"/>
    <col min="21" max="21" width="13" style="157" customWidth="1"/>
    <col min="22" max="22" width="9.28515625" style="253" customWidth="1"/>
    <col min="23" max="23" width="12.140625" style="105" customWidth="1"/>
    <col min="24" max="24" width="13.7109375" style="105" customWidth="1"/>
    <col min="25" max="25" width="7.5703125" style="105" customWidth="1"/>
    <col min="26" max="26" width="11.5703125" style="105" customWidth="1"/>
    <col min="27" max="27" width="4.140625" style="105" customWidth="1"/>
    <col min="28" max="35" width="11.5703125" style="105" customWidth="1"/>
    <col min="36" max="36" width="15.85546875" style="105" customWidth="1"/>
    <col min="37" max="37" width="11.85546875" style="105" customWidth="1"/>
    <col min="38" max="38" width="15.85546875" style="105" customWidth="1"/>
    <col min="39" max="39" width="13.140625" style="105" customWidth="1"/>
    <col min="40" max="16384" width="11.5703125" style="105"/>
  </cols>
  <sheetData>
    <row r="1" spans="1:37" ht="22.15" customHeight="1" x14ac:dyDescent="0.2">
      <c r="A1" s="2503"/>
      <c r="B1" s="2503"/>
      <c r="C1" s="2503"/>
      <c r="D1" s="2503"/>
      <c r="E1" s="2503"/>
      <c r="F1" s="2503"/>
      <c r="G1" s="2503"/>
      <c r="H1" s="2503"/>
      <c r="I1" s="2503"/>
      <c r="J1" s="2503"/>
      <c r="K1" s="2503"/>
      <c r="L1" s="2503"/>
      <c r="M1" s="2503"/>
      <c r="N1" s="2503"/>
      <c r="O1" s="2503"/>
      <c r="P1" s="2503"/>
    </row>
    <row r="2" spans="1:37" ht="20.25" customHeight="1" x14ac:dyDescent="0.2">
      <c r="A2" s="2503"/>
      <c r="C2" s="526" t="s">
        <v>1111</v>
      </c>
      <c r="D2" s="105"/>
      <c r="E2" s="105"/>
      <c r="F2" s="105"/>
      <c r="G2" s="105"/>
      <c r="H2" s="105"/>
      <c r="I2"/>
      <c r="J2" s="444" t="s">
        <v>1130</v>
      </c>
      <c r="M2"/>
      <c r="N2" s="109"/>
      <c r="O2" s="529" t="s">
        <v>193</v>
      </c>
      <c r="P2" s="2503"/>
      <c r="Q2" s="227"/>
      <c r="R2" s="227"/>
      <c r="S2" s="227"/>
      <c r="T2" s="227"/>
      <c r="U2" s="228"/>
      <c r="V2" s="229"/>
    </row>
    <row r="3" spans="1:37" ht="20.25" customHeight="1" x14ac:dyDescent="0.2">
      <c r="A3" s="2503"/>
      <c r="C3" s="114"/>
      <c r="D3" s="105"/>
      <c r="E3" s="105"/>
      <c r="F3" s="105"/>
      <c r="G3" s="105"/>
      <c r="H3" s="105"/>
      <c r="I3"/>
      <c r="J3" s="105"/>
      <c r="K3" s="291"/>
      <c r="L3"/>
      <c r="M3"/>
      <c r="N3" s="109"/>
      <c r="O3" s="109"/>
      <c r="P3" s="2503"/>
      <c r="Q3" s="227"/>
      <c r="R3" s="227"/>
      <c r="S3" s="227"/>
      <c r="T3" s="227"/>
      <c r="U3" s="228"/>
      <c r="V3" s="229"/>
    </row>
    <row r="4" spans="1:37" ht="25.5" customHeight="1" x14ac:dyDescent="0.2">
      <c r="A4" s="2503"/>
      <c r="C4" s="159" t="s">
        <v>876</v>
      </c>
      <c r="D4" s="164"/>
      <c r="E4" s="3822">
        <f>Stammdaten!D4</f>
        <v>44531</v>
      </c>
      <c r="F4"/>
      <c r="G4" s="108"/>
      <c r="J4" s="444" t="s">
        <v>1009</v>
      </c>
      <c r="M4"/>
      <c r="N4" s="105"/>
      <c r="O4" s="78">
        <f>Stammdaten!AI5</f>
        <v>2022</v>
      </c>
      <c r="P4" s="2503"/>
      <c r="Q4" s="230"/>
      <c r="R4" s="231"/>
      <c r="S4" s="108"/>
      <c r="T4" s="108"/>
      <c r="U4" s="232"/>
      <c r="V4" s="233"/>
      <c r="W4" s="234"/>
      <c r="X4" s="235"/>
    </row>
    <row r="5" spans="1:37" ht="12.2" customHeight="1" thickBot="1" x14ac:dyDescent="0.25">
      <c r="A5" s="2503"/>
      <c r="C5" s="106"/>
      <c r="D5" s="105"/>
      <c r="E5" s="108"/>
      <c r="F5" s="110"/>
      <c r="G5" s="108"/>
      <c r="J5" s="105"/>
      <c r="K5" s="107"/>
      <c r="L5" s="108"/>
      <c r="M5"/>
      <c r="N5" s="105"/>
      <c r="O5" s="77"/>
      <c r="P5" s="2503"/>
      <c r="Q5" s="230"/>
      <c r="R5" s="231"/>
      <c r="S5" s="108"/>
      <c r="T5" s="108"/>
      <c r="U5" s="232"/>
      <c r="V5" s="233"/>
      <c r="W5" s="234"/>
      <c r="X5" s="235"/>
    </row>
    <row r="6" spans="1:37" s="236" customFormat="1" ht="22.7" customHeight="1" x14ac:dyDescent="0.2">
      <c r="A6" s="2503"/>
      <c r="B6" s="226"/>
      <c r="C6" s="1354"/>
      <c r="D6" s="1392" t="s">
        <v>229</v>
      </c>
      <c r="E6" s="1356"/>
      <c r="F6" s="1355"/>
      <c r="G6" s="1355"/>
      <c r="H6" s="1355"/>
      <c r="I6" s="1357"/>
      <c r="J6" s="1393" t="s">
        <v>1074</v>
      </c>
      <c r="K6" s="1394"/>
      <c r="L6" s="1395" t="s">
        <v>1075</v>
      </c>
      <c r="M6" s="1396"/>
      <c r="N6" s="1397" t="s">
        <v>1076</v>
      </c>
      <c r="O6" s="2031"/>
      <c r="P6" s="2503"/>
      <c r="Q6"/>
      <c r="R6"/>
      <c r="S6"/>
      <c r="T6"/>
      <c r="U6"/>
      <c r="V6"/>
      <c r="W6"/>
      <c r="X6"/>
      <c r="Y6"/>
      <c r="Z6"/>
      <c r="AA6"/>
      <c r="AB6"/>
      <c r="AC6"/>
      <c r="AD6"/>
      <c r="AE6"/>
      <c r="AF6"/>
      <c r="AG6"/>
      <c r="AH6"/>
      <c r="AI6"/>
      <c r="AJ6"/>
    </row>
    <row r="7" spans="1:37" s="236" customFormat="1" ht="15.75" x14ac:dyDescent="0.2">
      <c r="A7" s="2503"/>
      <c r="B7" s="226"/>
      <c r="C7" s="1358"/>
      <c r="D7" s="115" t="s">
        <v>1077</v>
      </c>
      <c r="E7" s="116"/>
      <c r="F7" s="116"/>
      <c r="G7" s="116"/>
      <c r="H7" s="116"/>
      <c r="I7" s="1359" t="s">
        <v>1132</v>
      </c>
      <c r="J7" s="1398">
        <v>6500</v>
      </c>
      <c r="K7" s="421"/>
      <c r="L7" s="76">
        <v>7500</v>
      </c>
      <c r="M7" s="831"/>
      <c r="N7" s="76">
        <v>8500</v>
      </c>
      <c r="O7" s="2032"/>
      <c r="P7" s="2503"/>
      <c r="Q7"/>
      <c r="R7"/>
      <c r="S7"/>
      <c r="T7"/>
      <c r="U7"/>
      <c r="V7"/>
      <c r="W7"/>
      <c r="X7"/>
      <c r="Y7"/>
      <c r="Z7"/>
      <c r="AA7"/>
      <c r="AB7"/>
      <c r="AC7"/>
      <c r="AD7"/>
      <c r="AE7"/>
      <c r="AF7"/>
      <c r="AG7"/>
      <c r="AH7"/>
      <c r="AI7"/>
      <c r="AJ7"/>
      <c r="AK7"/>
    </row>
    <row r="8" spans="1:37" s="236" customFormat="1" ht="15" x14ac:dyDescent="0.2">
      <c r="A8" s="2503"/>
      <c r="B8" s="226"/>
      <c r="C8" s="1360"/>
      <c r="D8" s="24" t="s">
        <v>1133</v>
      </c>
      <c r="E8" s="422"/>
      <c r="F8" s="135"/>
      <c r="G8" s="135"/>
      <c r="H8" s="135"/>
      <c r="I8" s="1361"/>
      <c r="J8" s="1399">
        <v>3000</v>
      </c>
      <c r="K8" s="423"/>
      <c r="L8" s="432">
        <v>3500</v>
      </c>
      <c r="M8" s="832"/>
      <c r="N8" s="432">
        <v>4000</v>
      </c>
      <c r="O8" s="2033"/>
      <c r="P8" s="2503"/>
      <c r="Q8"/>
      <c r="R8"/>
      <c r="S8"/>
      <c r="T8"/>
      <c r="U8"/>
      <c r="V8"/>
      <c r="W8"/>
      <c r="X8"/>
      <c r="Y8"/>
      <c r="Z8"/>
      <c r="AA8"/>
      <c r="AB8"/>
      <c r="AC8"/>
      <c r="AD8"/>
      <c r="AE8"/>
      <c r="AF8"/>
      <c r="AG8"/>
      <c r="AH8"/>
      <c r="AI8"/>
      <c r="AJ8"/>
    </row>
    <row r="9" spans="1:37" s="236" customFormat="1" ht="13.7" customHeight="1" x14ac:dyDescent="0.2">
      <c r="A9" s="2503"/>
      <c r="B9" s="226"/>
      <c r="C9" s="1362"/>
      <c r="D9" s="22"/>
      <c r="E9" s="118"/>
      <c r="F9" s="119"/>
      <c r="G9" s="119"/>
      <c r="H9" s="119"/>
      <c r="I9" s="1363"/>
      <c r="J9" s="1400" t="s">
        <v>1134</v>
      </c>
      <c r="K9" s="425" t="str">
        <f>IF(Stammdaten!$S$7=1,"ohne Mwst.","mit Mwst.")</f>
        <v>mit Mwst.</v>
      </c>
      <c r="L9" s="833" t="s">
        <v>1134</v>
      </c>
      <c r="M9" s="834" t="str">
        <f>IF(Stammdaten!$S$7=1,"ohne Mwst.","mit Mwst.")</f>
        <v>mit Mwst.</v>
      </c>
      <c r="N9" s="429" t="s">
        <v>1134</v>
      </c>
      <c r="O9" s="2034" t="str">
        <f>IF(Stammdaten!$S$7=1,"ohne Mwst.","mit Mwst.")</f>
        <v>mit Mwst.</v>
      </c>
      <c r="P9" s="2503"/>
      <c r="Q9"/>
      <c r="R9"/>
      <c r="S9"/>
      <c r="T9"/>
      <c r="U9"/>
      <c r="V9"/>
      <c r="W9"/>
      <c r="X9"/>
      <c r="Y9"/>
      <c r="Z9"/>
      <c r="AA9"/>
      <c r="AB9"/>
      <c r="AC9"/>
      <c r="AD9"/>
      <c r="AE9"/>
      <c r="AF9"/>
      <c r="AG9"/>
      <c r="AH9"/>
      <c r="AI9"/>
      <c r="AJ9"/>
    </row>
    <row r="10" spans="1:37" s="236" customFormat="1" ht="13.7" customHeight="1" x14ac:dyDescent="0.2">
      <c r="A10" s="2503"/>
      <c r="B10" s="226"/>
      <c r="C10" s="1362"/>
      <c r="D10" s="22"/>
      <c r="E10" s="118"/>
      <c r="F10" s="119"/>
      <c r="G10" s="119"/>
      <c r="H10" s="119"/>
      <c r="I10" s="1363"/>
      <c r="J10" s="1401" t="s">
        <v>1138</v>
      </c>
      <c r="K10" s="424"/>
      <c r="L10" s="835" t="s">
        <v>1138</v>
      </c>
      <c r="M10" s="836"/>
      <c r="N10" s="431" t="s">
        <v>1138</v>
      </c>
      <c r="O10" s="2035"/>
      <c r="P10" s="2503"/>
      <c r="Q10"/>
      <c r="R10"/>
      <c r="S10"/>
      <c r="T10"/>
      <c r="U10"/>
      <c r="V10"/>
      <c r="W10"/>
      <c r="X10"/>
      <c r="Y10"/>
      <c r="Z10"/>
      <c r="AA10"/>
      <c r="AB10"/>
      <c r="AC10"/>
      <c r="AD10"/>
      <c r="AE10"/>
      <c r="AF10"/>
      <c r="AG10"/>
      <c r="AH10"/>
      <c r="AI10"/>
      <c r="AJ10"/>
    </row>
    <row r="11" spans="1:37" s="236" customFormat="1" ht="13.7" customHeight="1" x14ac:dyDescent="0.2">
      <c r="A11" s="2503"/>
      <c r="B11" s="226"/>
      <c r="C11" s="1362"/>
      <c r="D11" s="22"/>
      <c r="E11" s="118"/>
      <c r="F11" s="119"/>
      <c r="G11" s="119"/>
      <c r="H11" s="119"/>
      <c r="I11" s="1363"/>
      <c r="J11" s="1402" t="s">
        <v>1139</v>
      </c>
      <c r="K11" s="424"/>
      <c r="L11" s="837" t="s">
        <v>1139</v>
      </c>
      <c r="M11" s="836"/>
      <c r="N11" s="430" t="s">
        <v>1139</v>
      </c>
      <c r="O11" s="2035"/>
      <c r="P11" s="2503"/>
      <c r="Q11"/>
      <c r="R11"/>
      <c r="S11"/>
      <c r="T11"/>
      <c r="U11"/>
      <c r="V11"/>
      <c r="W11"/>
      <c r="X11"/>
      <c r="Y11"/>
      <c r="Z11"/>
      <c r="AA11"/>
      <c r="AB11"/>
      <c r="AC11"/>
      <c r="AD11"/>
      <c r="AE11"/>
      <c r="AF11"/>
      <c r="AG11"/>
      <c r="AH11"/>
      <c r="AI11"/>
      <c r="AJ11"/>
    </row>
    <row r="12" spans="1:37" s="236" customFormat="1" ht="18.75" customHeight="1" x14ac:dyDescent="0.2">
      <c r="A12" s="2503"/>
      <c r="B12" s="226"/>
      <c r="C12" s="1358"/>
      <c r="D12" s="115" t="s">
        <v>1140</v>
      </c>
      <c r="E12" s="116"/>
      <c r="F12" s="113"/>
      <c r="G12" s="202"/>
      <c r="H12" s="158" t="s">
        <v>1011</v>
      </c>
      <c r="I12" s="1364" t="s">
        <v>1141</v>
      </c>
      <c r="J12" s="1403"/>
      <c r="K12" s="140">
        <f>K13*J7</f>
        <v>3003.5849999999996</v>
      </c>
      <c r="L12" s="838"/>
      <c r="M12" s="839">
        <f>M13*L7</f>
        <v>3465.6749999999997</v>
      </c>
      <c r="N12" s="122"/>
      <c r="O12" s="2036">
        <f>O13*N7</f>
        <v>3927.7649999999994</v>
      </c>
      <c r="P12" s="2503"/>
      <c r="Q12"/>
      <c r="R12"/>
      <c r="S12"/>
      <c r="T12"/>
      <c r="U12"/>
      <c r="V12"/>
      <c r="W12"/>
      <c r="X12"/>
      <c r="Y12"/>
      <c r="Z12"/>
      <c r="AA12"/>
      <c r="AB12"/>
      <c r="AC12"/>
      <c r="AD12"/>
      <c r="AE12"/>
      <c r="AF12"/>
      <c r="AG12"/>
      <c r="AH12"/>
      <c r="AI12"/>
      <c r="AJ12"/>
    </row>
    <row r="13" spans="1:37" ht="15" customHeight="1" x14ac:dyDescent="0.2">
      <c r="A13" s="2503"/>
      <c r="C13" s="1365"/>
      <c r="D13" s="80" t="s">
        <v>1142</v>
      </c>
      <c r="E13" s="127"/>
      <c r="F13" s="80"/>
      <c r="G13" s="75"/>
      <c r="H13" s="75"/>
      <c r="I13" s="1366" t="s">
        <v>1143</v>
      </c>
      <c r="J13" s="1404">
        <f>L13</f>
        <v>0.42199999999999999</v>
      </c>
      <c r="K13" s="395">
        <f>M13</f>
        <v>0.46208999999999995</v>
      </c>
      <c r="L13" s="840">
        <f>M13/(1+Stammdaten!P7)</f>
        <v>0.42199999999999999</v>
      </c>
      <c r="M13" s="841">
        <f>Preise!N13+Preise!N21</f>
        <v>0.46208999999999995</v>
      </c>
      <c r="N13" s="518">
        <f>L13</f>
        <v>0.42199999999999999</v>
      </c>
      <c r="O13" s="2037">
        <f>M13</f>
        <v>0.46208999999999995</v>
      </c>
      <c r="P13" s="2503"/>
      <c r="Q13"/>
      <c r="R13"/>
      <c r="S13"/>
      <c r="T13"/>
      <c r="U13"/>
      <c r="V13"/>
      <c r="W13"/>
      <c r="X13"/>
      <c r="Y13"/>
      <c r="Z13"/>
      <c r="AA13"/>
      <c r="AB13"/>
      <c r="AC13"/>
      <c r="AD13"/>
      <c r="AE13"/>
      <c r="AF13"/>
      <c r="AG13"/>
      <c r="AH13"/>
      <c r="AI13"/>
      <c r="AJ13"/>
    </row>
    <row r="14" spans="1:37" s="236" customFormat="1" ht="15.75" x14ac:dyDescent="0.2">
      <c r="A14" s="2503"/>
      <c r="B14" s="226"/>
      <c r="C14" s="1362"/>
      <c r="D14" s="128" t="s">
        <v>1144</v>
      </c>
      <c r="E14" s="129"/>
      <c r="F14" s="130"/>
      <c r="G14" s="111"/>
      <c r="H14" s="111"/>
      <c r="I14" s="1367"/>
      <c r="J14" s="1371"/>
      <c r="K14" s="130"/>
      <c r="L14" s="842"/>
      <c r="M14" s="843"/>
      <c r="N14" s="126"/>
      <c r="O14" s="1367"/>
      <c r="P14" s="2503"/>
      <c r="Q14"/>
      <c r="R14"/>
      <c r="S14"/>
      <c r="T14"/>
      <c r="U14"/>
      <c r="V14"/>
      <c r="W14"/>
      <c r="X14"/>
      <c r="Y14"/>
      <c r="Z14"/>
      <c r="AA14"/>
      <c r="AB14"/>
      <c r="AC14"/>
      <c r="AD14"/>
      <c r="AE14"/>
      <c r="AF14"/>
      <c r="AG14"/>
      <c r="AH14"/>
      <c r="AI14"/>
      <c r="AJ14"/>
    </row>
    <row r="15" spans="1:37" s="236" customFormat="1" ht="18.75" customHeight="1" x14ac:dyDescent="0.2">
      <c r="A15" s="2503"/>
      <c r="B15" s="226"/>
      <c r="C15" s="1362"/>
      <c r="D15" s="128"/>
      <c r="E15" s="22" t="s">
        <v>1145</v>
      </c>
      <c r="F15" s="204"/>
      <c r="G15" s="111"/>
      <c r="H15" s="111"/>
      <c r="I15" s="1368" t="s">
        <v>1141</v>
      </c>
      <c r="J15" s="1371"/>
      <c r="K15" s="125">
        <f>J17*K16</f>
        <v>166.98750000000001</v>
      </c>
      <c r="L15" s="842"/>
      <c r="M15" s="844">
        <f>L17*M16</f>
        <v>166.98750000000001</v>
      </c>
      <c r="N15" s="126"/>
      <c r="O15" s="1405">
        <f>N17*O16</f>
        <v>166.98750000000001</v>
      </c>
      <c r="P15" s="2503"/>
      <c r="Q15"/>
      <c r="R15"/>
      <c r="S15"/>
      <c r="T15" s="237"/>
      <c r="U15" s="108"/>
      <c r="V15" s="108"/>
      <c r="W15" s="108"/>
      <c r="X15" s="108"/>
      <c r="Y15" s="108"/>
      <c r="Z15" s="108"/>
      <c r="AA15" s="108"/>
      <c r="AB15" s="108"/>
      <c r="AC15" s="108"/>
      <c r="AD15" s="108"/>
      <c r="AE15" s="108"/>
    </row>
    <row r="16" spans="1:37" s="236" customFormat="1" ht="18.75" customHeight="1" x14ac:dyDescent="0.2">
      <c r="A16" s="2503"/>
      <c r="B16" s="226"/>
      <c r="C16" s="1362"/>
      <c r="D16" s="111"/>
      <c r="E16" s="119"/>
      <c r="F16" s="22" t="s">
        <v>765</v>
      </c>
      <c r="G16" s="111"/>
      <c r="H16" s="111"/>
      <c r="I16" s="1368" t="s">
        <v>1146</v>
      </c>
      <c r="J16" s="1406"/>
      <c r="K16" s="398">
        <f>M16</f>
        <v>166.98750000000001</v>
      </c>
      <c r="L16" s="1407"/>
      <c r="M16" s="845">
        <f>Preise!N43</f>
        <v>166.98750000000001</v>
      </c>
      <c r="N16" s="28"/>
      <c r="O16" s="2038">
        <f>M16</f>
        <v>166.98750000000001</v>
      </c>
      <c r="P16" s="2503"/>
      <c r="Q16"/>
      <c r="R16"/>
      <c r="S16"/>
      <c r="T16" s="237"/>
      <c r="U16" s="108"/>
      <c r="V16" s="108"/>
      <c r="W16" s="108"/>
      <c r="X16" s="108"/>
      <c r="Y16" s="108"/>
      <c r="Z16" s="108"/>
      <c r="AA16" s="108"/>
      <c r="AB16" s="108"/>
      <c r="AC16" s="108"/>
      <c r="AD16" s="108"/>
      <c r="AE16" s="108"/>
    </row>
    <row r="17" spans="1:38" s="236" customFormat="1" ht="16.5" customHeight="1" x14ac:dyDescent="0.2">
      <c r="A17" s="2503"/>
      <c r="B17" s="226"/>
      <c r="C17" s="1362"/>
      <c r="D17" s="111"/>
      <c r="E17" s="130"/>
      <c r="F17" s="22" t="s">
        <v>513</v>
      </c>
      <c r="G17" s="111"/>
      <c r="H17" s="111"/>
      <c r="I17" s="1369" t="s">
        <v>1147</v>
      </c>
      <c r="J17" s="1408">
        <v>1</v>
      </c>
      <c r="K17" s="132"/>
      <c r="L17" s="160">
        <v>1</v>
      </c>
      <c r="M17" s="846"/>
      <c r="N17" s="160">
        <v>1</v>
      </c>
      <c r="O17" s="2039"/>
      <c r="P17" s="2503"/>
      <c r="Q17"/>
      <c r="R17"/>
      <c r="S17"/>
      <c r="T17" s="238"/>
      <c r="U17" s="108"/>
      <c r="V17" s="108"/>
      <c r="W17" s="108"/>
      <c r="X17" s="108"/>
      <c r="Y17" s="108"/>
      <c r="Z17" s="108"/>
      <c r="AA17" s="108"/>
      <c r="AB17" s="108"/>
      <c r="AC17" s="108"/>
      <c r="AD17" s="108"/>
      <c r="AE17" s="108"/>
    </row>
    <row r="18" spans="1:38" s="236" customFormat="1" ht="16.5" customHeight="1" x14ac:dyDescent="0.2">
      <c r="A18" s="2503"/>
      <c r="B18" s="226"/>
      <c r="C18" s="1362"/>
      <c r="D18" s="111"/>
      <c r="E18" s="124" t="s">
        <v>1148</v>
      </c>
      <c r="F18" s="124" t="s">
        <v>1149</v>
      </c>
      <c r="G18" s="111"/>
      <c r="H18" s="111"/>
      <c r="I18" s="1368" t="s">
        <v>1141</v>
      </c>
      <c r="J18" s="1409"/>
      <c r="K18" s="125">
        <f>K19/J20</f>
        <v>488.58899999999994</v>
      </c>
      <c r="L18" s="848"/>
      <c r="M18" s="844">
        <f>M19/L20</f>
        <v>488.58899999999994</v>
      </c>
      <c r="N18" s="133"/>
      <c r="O18" s="1405">
        <f>O19/N20</f>
        <v>488.58899999999994</v>
      </c>
      <c r="P18" s="2503"/>
      <c r="Q18"/>
      <c r="R18"/>
      <c r="S18" s="239"/>
      <c r="T18" s="239"/>
      <c r="U18" s="108"/>
      <c r="V18" s="108"/>
    </row>
    <row r="19" spans="1:38" s="236" customFormat="1" ht="15.6" customHeight="1" x14ac:dyDescent="0.2">
      <c r="A19" s="2503"/>
      <c r="B19" s="226"/>
      <c r="C19" s="1362"/>
      <c r="D19" s="111"/>
      <c r="E19" s="119"/>
      <c r="F19" s="22" t="s">
        <v>1150</v>
      </c>
      <c r="G19" s="111"/>
      <c r="H19" s="3800">
        <v>3</v>
      </c>
      <c r="I19" s="1368" t="s">
        <v>1141</v>
      </c>
      <c r="J19" s="1406"/>
      <c r="K19" s="426">
        <f>J21*Preise!$N$29*(100-$H$19)/100</f>
        <v>1465.7669999999998</v>
      </c>
      <c r="L19" s="1407"/>
      <c r="M19" s="847">
        <f>L21*Preise!$N$29*(100-$H$19)/100</f>
        <v>1465.7669999999998</v>
      </c>
      <c r="N19" s="28"/>
      <c r="O19" s="2040">
        <f>N21*Preise!$N$29*(100-$H$19)/100</f>
        <v>1465.7669999999998</v>
      </c>
      <c r="P19" s="2503"/>
      <c r="Q19"/>
      <c r="R19"/>
      <c r="S19" s="239"/>
      <c r="T19" s="239"/>
      <c r="U19" s="108"/>
      <c r="V19" s="108"/>
    </row>
    <row r="20" spans="1:38" s="236" customFormat="1" ht="14.25" x14ac:dyDescent="0.2">
      <c r="A20" s="2503"/>
      <c r="B20" s="226"/>
      <c r="C20" s="1362"/>
      <c r="D20" s="111"/>
      <c r="E20" s="119"/>
      <c r="F20" s="22" t="s">
        <v>1151</v>
      </c>
      <c r="G20" s="111"/>
      <c r="H20" s="111"/>
      <c r="I20" s="1369" t="s">
        <v>991</v>
      </c>
      <c r="J20" s="1410">
        <v>3</v>
      </c>
      <c r="K20" s="132"/>
      <c r="L20" s="161">
        <v>3</v>
      </c>
      <c r="M20" s="846"/>
      <c r="N20" s="161">
        <v>3</v>
      </c>
      <c r="O20" s="2039"/>
      <c r="P20" s="2503"/>
      <c r="Q20"/>
      <c r="R20"/>
      <c r="S20" s="238"/>
      <c r="T20" s="238"/>
      <c r="U20" s="108"/>
      <c r="V20" s="108"/>
    </row>
    <row r="21" spans="1:38" s="236" customFormat="1" ht="14.25" x14ac:dyDescent="0.2">
      <c r="A21" s="2503"/>
      <c r="B21" s="226"/>
      <c r="C21" s="1362"/>
      <c r="D21" s="111"/>
      <c r="E21" s="119"/>
      <c r="F21" s="22" t="s">
        <v>1152</v>
      </c>
      <c r="G21" s="111"/>
      <c r="H21" s="111"/>
      <c r="I21" s="1369" t="s">
        <v>1153</v>
      </c>
      <c r="J21" s="1410">
        <v>300</v>
      </c>
      <c r="K21" s="132"/>
      <c r="L21" s="161">
        <v>300</v>
      </c>
      <c r="M21" s="849"/>
      <c r="N21" s="161">
        <v>300</v>
      </c>
      <c r="O21" s="2039"/>
      <c r="P21" s="2503"/>
      <c r="Q21"/>
      <c r="R21"/>
      <c r="S21" s="238"/>
      <c r="T21" s="238"/>
      <c r="U21" s="108"/>
      <c r="V21" s="108"/>
    </row>
    <row r="22" spans="1:38" s="236" customFormat="1" ht="18" customHeight="1" x14ac:dyDescent="0.2">
      <c r="A22" s="2503"/>
      <c r="B22" s="226"/>
      <c r="C22" s="1362"/>
      <c r="D22" s="111"/>
      <c r="E22" s="22" t="str">
        <f>"Düngerwert:  (bei "&amp;ROUND(Stammdaten!P23,2)&amp;" €/m³)"</f>
        <v>Düngerwert:  (bei 14,58 €/m³)</v>
      </c>
      <c r="F22" s="22"/>
      <c r="G22" s="111"/>
      <c r="H22" s="111"/>
      <c r="I22" s="1368" t="s">
        <v>1141</v>
      </c>
      <c r="J22" s="1411"/>
      <c r="K22" s="125">
        <f>J23*Stammdaten!$P$23</f>
        <v>313.45889166666666</v>
      </c>
      <c r="L22" s="850"/>
      <c r="M22" s="844">
        <f>L23*Stammdaten!$P$23</f>
        <v>320.74863333333332</v>
      </c>
      <c r="N22" s="134"/>
      <c r="O22" s="1405">
        <f>N23*Stammdaten!$P$23</f>
        <v>328.03837499999997</v>
      </c>
      <c r="P22" s="2503"/>
      <c r="Q22"/>
      <c r="R22" s="3913" t="s">
        <v>1579</v>
      </c>
      <c r="S22" s="3914"/>
      <c r="T22" s="3914"/>
      <c r="U22" s="3915"/>
      <c r="V22" s="108"/>
      <c r="AL22"/>
    </row>
    <row r="23" spans="1:38" s="236" customFormat="1" ht="18" customHeight="1" x14ac:dyDescent="0.2">
      <c r="A23" s="2503"/>
      <c r="B23" s="226"/>
      <c r="C23" s="1362"/>
      <c r="D23" s="111"/>
      <c r="E23" s="119"/>
      <c r="F23" s="22" t="s">
        <v>758</v>
      </c>
      <c r="G23" s="111"/>
      <c r="H23" s="111"/>
      <c r="I23" s="1369" t="s">
        <v>1155</v>
      </c>
      <c r="J23" s="1410">
        <v>21.5</v>
      </c>
      <c r="K23" s="2570" t="str">
        <f>"  "&amp;ROUND(J92,1)</f>
        <v xml:space="preserve">  21,5</v>
      </c>
      <c r="L23" s="161">
        <v>22</v>
      </c>
      <c r="M23" s="2575" t="str">
        <f>"  "&amp;ROUND(L92,1)</f>
        <v xml:space="preserve">  22</v>
      </c>
      <c r="N23" s="161">
        <v>22.5</v>
      </c>
      <c r="O23" s="2576" t="str">
        <f>"  "&amp;ROUND(N92,1)</f>
        <v xml:space="preserve">  22,5</v>
      </c>
      <c r="P23" s="2503"/>
      <c r="Q23"/>
      <c r="R23"/>
      <c r="S23" s="240"/>
      <c r="T23" s="240"/>
      <c r="U23" s="108"/>
      <c r="V23" s="108"/>
    </row>
    <row r="24" spans="1:38" s="236" customFormat="1" ht="18" customHeight="1" x14ac:dyDescent="0.2">
      <c r="A24" s="2503"/>
      <c r="B24" s="226"/>
      <c r="C24" s="1362"/>
      <c r="D24" s="111"/>
      <c r="E24" s="22" t="s">
        <v>1022</v>
      </c>
      <c r="F24" s="2548">
        <f>Stammdaten!H25</f>
        <v>17</v>
      </c>
      <c r="G24" s="124" t="s">
        <v>1021</v>
      </c>
      <c r="H24" s="111"/>
      <c r="I24" s="1369" t="s">
        <v>1155</v>
      </c>
      <c r="J24" s="2544">
        <f>J92*$F$24</f>
        <v>365.5</v>
      </c>
      <c r="K24" s="132"/>
      <c r="L24" s="2545">
        <f>L92*$F$24</f>
        <v>374</v>
      </c>
      <c r="M24" s="846"/>
      <c r="N24" s="2545">
        <f>N92*$F$24</f>
        <v>382.5</v>
      </c>
      <c r="O24" s="2039"/>
      <c r="P24" s="2503"/>
      <c r="Q24"/>
      <c r="R24"/>
      <c r="S24" s="240"/>
      <c r="T24" s="240"/>
      <c r="U24" s="108"/>
      <c r="V24" s="108"/>
    </row>
    <row r="25" spans="1:38" s="241" customFormat="1" ht="17.100000000000001" customHeight="1" x14ac:dyDescent="0.2">
      <c r="A25" s="2503"/>
      <c r="B25" s="243"/>
      <c r="C25" s="1358"/>
      <c r="D25" s="3794" t="s">
        <v>1492</v>
      </c>
      <c r="E25" s="116"/>
      <c r="F25" s="116"/>
      <c r="G25" s="116"/>
      <c r="H25" s="116"/>
      <c r="I25" s="1364" t="s">
        <v>176</v>
      </c>
      <c r="J25" s="1412"/>
      <c r="K25" s="2085">
        <v>0</v>
      </c>
      <c r="L25" s="852"/>
      <c r="M25" s="2085">
        <v>0</v>
      </c>
      <c r="N25" s="137"/>
      <c r="O25" s="2086">
        <v>0</v>
      </c>
      <c r="P25" s="2503"/>
      <c r="Q25"/>
      <c r="R25"/>
      <c r="S25" s="242"/>
      <c r="T25" s="242"/>
      <c r="U25" s="108"/>
      <c r="V25" s="108"/>
    </row>
    <row r="26" spans="1:38" ht="17.100000000000001" customHeight="1" x14ac:dyDescent="0.2">
      <c r="A26" s="2503"/>
      <c r="C26" s="1370"/>
      <c r="D26" s="115" t="s">
        <v>1086</v>
      </c>
      <c r="E26" s="121"/>
      <c r="F26" s="121"/>
      <c r="G26" s="121"/>
      <c r="H26" s="121"/>
      <c r="I26" s="1364" t="s">
        <v>1141</v>
      </c>
      <c r="J26" s="1415"/>
      <c r="K26" s="140">
        <f>K27/J20</f>
        <v>657</v>
      </c>
      <c r="L26" s="855"/>
      <c r="M26" s="839">
        <f>M27/L20</f>
        <v>657</v>
      </c>
      <c r="N26" s="141"/>
      <c r="O26" s="2036">
        <f>O27/N20</f>
        <v>657</v>
      </c>
      <c r="P26" s="2503"/>
      <c r="Q26"/>
      <c r="R26"/>
      <c r="S26" s="246"/>
      <c r="T26" s="246"/>
      <c r="U26" s="108"/>
      <c r="V26" s="108"/>
    </row>
    <row r="27" spans="1:38" ht="17.100000000000001" customHeight="1" x14ac:dyDescent="0.2">
      <c r="A27" s="2503"/>
      <c r="C27" s="1371"/>
      <c r="D27" s="130"/>
      <c r="E27" s="247" t="s">
        <v>1156</v>
      </c>
      <c r="I27" s="1368" t="s">
        <v>1157</v>
      </c>
      <c r="J27" s="1406"/>
      <c r="K27" s="401">
        <f>M27</f>
        <v>1971</v>
      </c>
      <c r="L27" s="851"/>
      <c r="M27" s="856">
        <f>Preise!N25</f>
        <v>1971</v>
      </c>
      <c r="N27" s="37"/>
      <c r="O27" s="2041">
        <f>M27</f>
        <v>1971</v>
      </c>
      <c r="P27" s="2503"/>
      <c r="Q27"/>
      <c r="R27"/>
      <c r="U27" s="108"/>
      <c r="V27" s="108"/>
    </row>
    <row r="28" spans="1:38" s="241" customFormat="1" ht="17.100000000000001" customHeight="1" x14ac:dyDescent="0.2">
      <c r="A28" s="2503"/>
      <c r="B28" s="226"/>
      <c r="C28" s="1372"/>
      <c r="D28" s="143" t="s">
        <v>1158</v>
      </c>
      <c r="E28" s="121"/>
      <c r="F28" s="144"/>
      <c r="G28" s="145"/>
      <c r="H28" s="145"/>
      <c r="I28" s="1373" t="s">
        <v>1141</v>
      </c>
      <c r="J28" s="1416"/>
      <c r="K28" s="146">
        <f>SUM(K30:K34)</f>
        <v>668.43350000000009</v>
      </c>
      <c r="L28" s="857"/>
      <c r="M28" s="858">
        <f>SUM(M30:M34)</f>
        <v>764.47850000000017</v>
      </c>
      <c r="N28" s="147"/>
      <c r="O28" s="2042">
        <f>SUM(O30:O34)</f>
        <v>860.52350000000013</v>
      </c>
      <c r="P28" s="2503"/>
      <c r="Q28"/>
      <c r="R28"/>
      <c r="S28" s="246"/>
      <c r="T28" s="246"/>
      <c r="U28" s="108"/>
      <c r="V28" s="108"/>
    </row>
    <row r="29" spans="1:38" s="241" customFormat="1" ht="17.100000000000001" customHeight="1" x14ac:dyDescent="0.2">
      <c r="A29" s="2503"/>
      <c r="B29" s="226"/>
      <c r="C29" s="1374"/>
      <c r="D29" s="513" t="s">
        <v>1159</v>
      </c>
      <c r="E29" s="149"/>
      <c r="F29" s="148"/>
      <c r="G29" s="371"/>
      <c r="H29" s="640" t="s">
        <v>175</v>
      </c>
      <c r="I29" s="1375"/>
      <c r="J29" s="1417" t="s">
        <v>1160</v>
      </c>
      <c r="K29" s="760" t="s">
        <v>766</v>
      </c>
      <c r="L29" s="859" t="s">
        <v>1160</v>
      </c>
      <c r="M29" s="872" t="s">
        <v>766</v>
      </c>
      <c r="N29" s="405" t="s">
        <v>1160</v>
      </c>
      <c r="O29" s="1418" t="s">
        <v>766</v>
      </c>
      <c r="P29" s="2503"/>
      <c r="Q29"/>
      <c r="R29"/>
      <c r="S29" s="248"/>
      <c r="T29" s="248"/>
      <c r="U29" s="108"/>
      <c r="V29" s="108"/>
    </row>
    <row r="30" spans="1:38" ht="17.100000000000001" customHeight="1" x14ac:dyDescent="0.2">
      <c r="A30" s="2503"/>
      <c r="C30" s="1376"/>
      <c r="D30" s="244">
        <v>1</v>
      </c>
      <c r="E30" s="81" t="str">
        <f>IF(OR(D30&gt;10,D30=0),0,INDEX(Preise!$C$45:$N$54,D30,2))</f>
        <v>Milchleistungsfutter</v>
      </c>
      <c r="G30" s="28"/>
      <c r="H30" s="511">
        <f>IF(OR(D30&gt;10,D30=0),0,INDEX(Preise!$C$45:$N$54,D30,12))</f>
        <v>37.450000000000003</v>
      </c>
      <c r="I30" s="1363"/>
      <c r="J30" s="1419">
        <f>IF(D30&lt;1,0,((J7-J8-(J31*100*2))/2)/100)</f>
        <v>12.5</v>
      </c>
      <c r="K30" s="396">
        <f>J30*$H30</f>
        <v>468.12500000000006</v>
      </c>
      <c r="L30" s="870">
        <f>((L7-L8-(L31*100*2))/2)/100</f>
        <v>13</v>
      </c>
      <c r="M30" s="860">
        <f>L30*$H30</f>
        <v>486.85</v>
      </c>
      <c r="N30" s="433">
        <f>((N7-N8-(N31*100*2))/2)/100</f>
        <v>13.5</v>
      </c>
      <c r="O30" s="2043">
        <f>N30*$H30</f>
        <v>505.57500000000005</v>
      </c>
      <c r="P30" s="2503"/>
      <c r="Q30"/>
      <c r="R30"/>
      <c r="S30"/>
      <c r="T30"/>
      <c r="AA30"/>
      <c r="AB30"/>
      <c r="AC30"/>
    </row>
    <row r="31" spans="1:38" ht="17.100000000000001" customHeight="1" x14ac:dyDescent="0.2">
      <c r="A31" s="2503"/>
      <c r="C31" s="1376"/>
      <c r="D31" s="244">
        <v>2</v>
      </c>
      <c r="E31" s="81" t="str">
        <f>IF(OR(D31&gt;10,D31=0),0,INDEX(Preise!$C$45:$N$54,D31,2))</f>
        <v>Eigene Mischung</v>
      </c>
      <c r="G31" s="28"/>
      <c r="H31" s="511">
        <f>IF(OR(D31&gt;10,D31=0),0,INDEX(Preise!$C$45:$N$54,D31,12))</f>
        <v>29.565000000000001</v>
      </c>
      <c r="I31" s="1363"/>
      <c r="J31" s="1420">
        <v>5</v>
      </c>
      <c r="K31" s="396">
        <f>J31*H31</f>
        <v>147.82500000000002</v>
      </c>
      <c r="L31" s="404">
        <v>7</v>
      </c>
      <c r="M31" s="860">
        <f>L31*H31</f>
        <v>206.95500000000001</v>
      </c>
      <c r="N31" s="404">
        <v>9</v>
      </c>
      <c r="O31" s="2043">
        <f>N31*H31</f>
        <v>266.08500000000004</v>
      </c>
      <c r="P31" s="2503"/>
      <c r="Q31"/>
      <c r="R31"/>
      <c r="S31"/>
      <c r="T31"/>
      <c r="AA31"/>
      <c r="AB31"/>
      <c r="AC31"/>
    </row>
    <row r="32" spans="1:38" ht="17.100000000000001" customHeight="1" x14ac:dyDescent="0.2">
      <c r="A32" s="2503"/>
      <c r="C32" s="1376"/>
      <c r="D32" s="1350">
        <v>4</v>
      </c>
      <c r="E32" s="81" t="str">
        <f>IF(OR(D32&gt;10,D32=0),0,INDEX(Preise!$C$45:$N$54,D32,2))</f>
        <v>Mineralfutter Rinder</v>
      </c>
      <c r="G32" s="28"/>
      <c r="H32" s="511">
        <f>IF(OR(D32&gt;10,D32=0),0,INDEX(Preise!$C$45:$N$54,D32,12))</f>
        <v>69.55</v>
      </c>
      <c r="I32" s="1363"/>
      <c r="J32" s="1420">
        <v>0.2</v>
      </c>
      <c r="K32" s="396">
        <f>J32*$H32</f>
        <v>13.91</v>
      </c>
      <c r="L32" s="404">
        <v>0.3</v>
      </c>
      <c r="M32" s="860">
        <f>L32*$H32</f>
        <v>20.864999999999998</v>
      </c>
      <c r="N32" s="404">
        <v>0.4</v>
      </c>
      <c r="O32" s="2043">
        <f>N32*$H32</f>
        <v>27.82</v>
      </c>
      <c r="P32" s="2503"/>
      <c r="Q32"/>
      <c r="R32"/>
      <c r="S32"/>
      <c r="T32"/>
      <c r="AA32"/>
      <c r="AB32"/>
      <c r="AC32"/>
    </row>
    <row r="33" spans="1:57" ht="17.100000000000001" customHeight="1" x14ac:dyDescent="0.2">
      <c r="A33" s="2503"/>
      <c r="C33" s="1376"/>
      <c r="D33" s="1350">
        <v>5</v>
      </c>
      <c r="E33" s="81" t="s">
        <v>145</v>
      </c>
      <c r="G33" s="28"/>
      <c r="H33" s="511">
        <f>IF(OR(D33&gt;10,D33=0),0,INDEX(Preise!$C$45:$N$54,D33,12))</f>
        <v>112.35</v>
      </c>
      <c r="I33" s="1363"/>
      <c r="J33" s="1420">
        <v>0.2</v>
      </c>
      <c r="K33" s="396">
        <f>J33*$H33</f>
        <v>22.47</v>
      </c>
      <c r="L33" s="404">
        <v>0.3</v>
      </c>
      <c r="M33" s="860">
        <f>L33*$H33</f>
        <v>33.704999999999998</v>
      </c>
      <c r="N33" s="404">
        <v>0.4</v>
      </c>
      <c r="O33" s="2043">
        <f>N33*$H33</f>
        <v>44.94</v>
      </c>
      <c r="P33" s="2503"/>
      <c r="Q33"/>
      <c r="R33"/>
      <c r="S33"/>
      <c r="T33"/>
      <c r="AA33"/>
      <c r="AB33"/>
      <c r="AC33"/>
    </row>
    <row r="34" spans="1:57" ht="17.100000000000001" customHeight="1" x14ac:dyDescent="0.2">
      <c r="A34" s="2503"/>
      <c r="C34" s="1365"/>
      <c r="D34" s="510">
        <v>7</v>
      </c>
      <c r="E34" s="82" t="str">
        <f>IF(OR(D34&gt;10,D34=0),0,INDEX(Preise!$C$45:$N$54,D34,2))</f>
        <v>Milchaustauscher</v>
      </c>
      <c r="F34" s="127"/>
      <c r="G34" s="16"/>
      <c r="H34" s="512">
        <f>IF(OR(D34&gt;10,D34=0),0,INDEX(Preise!$C$45:$N$54,D34,12))</f>
        <v>322.07</v>
      </c>
      <c r="I34" s="1361"/>
      <c r="J34" s="1421">
        <v>0.05</v>
      </c>
      <c r="K34" s="1351">
        <f>J34*$H34</f>
        <v>16.1035</v>
      </c>
      <c r="L34" s="1353">
        <v>0.05</v>
      </c>
      <c r="M34" s="1352">
        <f>L34*$H34</f>
        <v>16.1035</v>
      </c>
      <c r="N34" s="1353">
        <v>0.05</v>
      </c>
      <c r="O34" s="2044">
        <f>N34*$H34</f>
        <v>16.1035</v>
      </c>
      <c r="P34" s="2503"/>
      <c r="Q34"/>
      <c r="R34"/>
      <c r="S34"/>
      <c r="T34"/>
      <c r="AA34"/>
      <c r="AB34"/>
      <c r="AC34"/>
    </row>
    <row r="35" spans="1:57" s="241" customFormat="1" ht="17.100000000000001" customHeight="1" x14ac:dyDescent="0.2">
      <c r="A35" s="2503"/>
      <c r="B35" s="226"/>
      <c r="C35" s="1377"/>
      <c r="D35" s="73" t="s">
        <v>1161</v>
      </c>
      <c r="E35" s="71"/>
      <c r="F35" s="72"/>
      <c r="G35" s="150"/>
      <c r="H35" s="150"/>
      <c r="I35" s="1368" t="s">
        <v>1141</v>
      </c>
      <c r="J35" s="1422">
        <f>SUM(J36:J44)</f>
        <v>529.62936596726195</v>
      </c>
      <c r="K35" s="136">
        <f>J35+J35*Stammdaten!$P$11</f>
        <v>593.18488988333343</v>
      </c>
      <c r="L35" s="862">
        <f>SUM(L36:L44)</f>
        <v>563.69157334821432</v>
      </c>
      <c r="M35" s="853">
        <f>L35+L35*Stammdaten!$P$11</f>
        <v>631.33456215000001</v>
      </c>
      <c r="N35" s="428">
        <f>SUM(N36:N44)</f>
        <v>601.86092358630947</v>
      </c>
      <c r="O35" s="1413">
        <f>N35+N35*Stammdaten!$P$11</f>
        <v>674.08423441666662</v>
      </c>
      <c r="P35" s="2503"/>
      <c r="Q35"/>
      <c r="R35"/>
      <c r="S35"/>
      <c r="T35"/>
      <c r="AA35"/>
      <c r="AB35"/>
      <c r="AC35"/>
    </row>
    <row r="36" spans="1:57" ht="17.100000000000001" customHeight="1" x14ac:dyDescent="0.2">
      <c r="A36" s="2503"/>
      <c r="C36" s="1376"/>
      <c r="D36" s="130"/>
      <c r="E36" s="249" t="s">
        <v>90</v>
      </c>
      <c r="F36" s="162"/>
      <c r="G36" s="22"/>
      <c r="H36" s="22"/>
      <c r="I36" s="1378"/>
      <c r="J36" s="1423">
        <v>116</v>
      </c>
      <c r="K36" s="408"/>
      <c r="L36" s="406">
        <v>126</v>
      </c>
      <c r="M36" s="861"/>
      <c r="N36" s="406">
        <v>140</v>
      </c>
      <c r="O36" s="2045"/>
      <c r="P36" s="2503"/>
      <c r="Q36" s="3020" t="s">
        <v>1580</v>
      </c>
      <c r="R36" s="3020"/>
      <c r="S36" s="3020"/>
      <c r="T36"/>
      <c r="U36"/>
      <c r="V36"/>
      <c r="W36"/>
      <c r="X36"/>
      <c r="Y36"/>
      <c r="Z36"/>
      <c r="AA36"/>
      <c r="AB36"/>
      <c r="AC36"/>
      <c r="AL36" s="411"/>
      <c r="AM36" s="411"/>
      <c r="AN36" s="411"/>
      <c r="AO36" s="411"/>
      <c r="AY36" s="701" t="s">
        <v>405</v>
      </c>
      <c r="AZ36" s="499"/>
      <c r="BA36" s="499"/>
      <c r="BB36" s="499"/>
      <c r="BC36" s="499"/>
      <c r="BD36" s="499"/>
      <c r="BE36" s="702"/>
    </row>
    <row r="37" spans="1:57" ht="17.100000000000001" customHeight="1" x14ac:dyDescent="0.2">
      <c r="A37" s="2503"/>
      <c r="C37" s="1376"/>
      <c r="D37" s="130"/>
      <c r="E37" s="249" t="s">
        <v>1088</v>
      </c>
      <c r="F37" s="162"/>
      <c r="G37" s="22"/>
      <c r="H37" s="22"/>
      <c r="I37" s="1369"/>
      <c r="J37" s="1423">
        <v>32</v>
      </c>
      <c r="K37" s="408"/>
      <c r="L37" s="406">
        <v>32</v>
      </c>
      <c r="M37" s="861"/>
      <c r="N37" s="406">
        <v>34</v>
      </c>
      <c r="O37" s="2045"/>
      <c r="P37" s="2503"/>
      <c r="Q37" s="3020" t="s">
        <v>1581</v>
      </c>
      <c r="R37" s="3020"/>
      <c r="S37" s="3020"/>
      <c r="T37"/>
      <c r="U37"/>
      <c r="V37"/>
      <c r="W37"/>
      <c r="X37"/>
      <c r="Y37"/>
      <c r="Z37"/>
      <c r="AA37"/>
      <c r="AB37"/>
      <c r="AC37"/>
      <c r="AL37" s="411"/>
      <c r="AN37" s="411"/>
      <c r="AO37" s="411"/>
      <c r="AY37" s="131"/>
      <c r="AZ37" s="111"/>
      <c r="BA37" s="111"/>
      <c r="BB37" s="139"/>
      <c r="BC37" s="698"/>
      <c r="BD37" s="153"/>
      <c r="BE37" s="698"/>
    </row>
    <row r="38" spans="1:57" ht="17.100000000000001" customHeight="1" x14ac:dyDescent="0.2">
      <c r="A38" s="2503"/>
      <c r="C38" s="1376"/>
      <c r="D38" s="130"/>
      <c r="E38" s="250" t="s">
        <v>894</v>
      </c>
      <c r="F38" s="2825">
        <v>4</v>
      </c>
      <c r="G38" s="2223" t="s">
        <v>586</v>
      </c>
      <c r="H38" s="2223"/>
      <c r="I38" s="1369"/>
      <c r="J38" s="2226">
        <f>(J91*Preise!$N$55)/(1+Stammdaten!$P$11)</f>
        <v>56.962913288690466</v>
      </c>
      <c r="K38" s="408"/>
      <c r="L38" s="2227">
        <f>(L91*Preise!$N$55)/(1+Stammdaten!$P$11)</f>
        <v>61.313049241071411</v>
      </c>
      <c r="M38" s="861"/>
      <c r="N38" s="2227">
        <f>(N91*Preise!$N$55)/(1+Stammdaten!$P$11)</f>
        <v>65.663185193452378</v>
      </c>
      <c r="O38" s="2045"/>
      <c r="P38" s="2503"/>
      <c r="Q38"/>
      <c r="R38"/>
      <c r="S38"/>
      <c r="T38"/>
      <c r="U38"/>
      <c r="V38"/>
      <c r="W38"/>
      <c r="X38"/>
      <c r="Y38"/>
      <c r="Z38"/>
      <c r="AA38"/>
      <c r="AB38"/>
      <c r="AC38"/>
      <c r="AL38" s="411"/>
      <c r="AN38" s="411"/>
      <c r="AO38" s="411"/>
      <c r="AY38" s="131" t="s">
        <v>400</v>
      </c>
      <c r="AZ38" s="111"/>
      <c r="BA38" s="111"/>
      <c r="BB38" s="131" t="s">
        <v>401</v>
      </c>
      <c r="BC38" s="699"/>
      <c r="BD38" s="703">
        <v>14.3</v>
      </c>
      <c r="BE38" s="699"/>
    </row>
    <row r="39" spans="1:57" ht="17.100000000000001" customHeight="1" x14ac:dyDescent="0.2">
      <c r="A39" s="2503"/>
      <c r="C39" s="1376"/>
      <c r="D39" s="130"/>
      <c r="E39" s="250" t="s">
        <v>897</v>
      </c>
      <c r="F39" s="2825">
        <v>3</v>
      </c>
      <c r="G39" s="2223" t="s">
        <v>719</v>
      </c>
      <c r="H39" s="2223"/>
      <c r="I39" s="1369"/>
      <c r="J39" s="2226">
        <f>(J7/100*$F$39*Preise!$N$56)/(1+Stammdaten!$P$11)</f>
        <v>66.3</v>
      </c>
      <c r="K39" s="408"/>
      <c r="L39" s="2227">
        <f>(L7/100*$F$39*Preise!$N$56)/(1+Stammdaten!$P$11)</f>
        <v>76.5</v>
      </c>
      <c r="M39" s="861"/>
      <c r="N39" s="2227">
        <f>(N7/100*$F$39*Preise!$N$56)/(1+Stammdaten!$P$11)</f>
        <v>86.7</v>
      </c>
      <c r="O39" s="2045"/>
      <c r="P39" s="2503"/>
      <c r="Q39"/>
      <c r="R39"/>
      <c r="S39"/>
      <c r="T39"/>
      <c r="U39"/>
      <c r="V39"/>
      <c r="W39"/>
      <c r="X39"/>
      <c r="Y39"/>
      <c r="Z39"/>
      <c r="AA39"/>
      <c r="AB39"/>
      <c r="AC39"/>
      <c r="AL39" s="411"/>
      <c r="AN39" s="411"/>
      <c r="AO39" s="411"/>
      <c r="AY39" s="131"/>
      <c r="AZ39" s="111"/>
      <c r="BA39" s="111"/>
      <c r="BB39" s="131"/>
      <c r="BC39" s="699"/>
      <c r="BD39" s="703"/>
      <c r="BE39" s="699"/>
    </row>
    <row r="40" spans="1:57" ht="17.100000000000001" customHeight="1" x14ac:dyDescent="0.2">
      <c r="A40" s="2503"/>
      <c r="C40" s="1376"/>
      <c r="D40" s="130"/>
      <c r="E40" s="250" t="s">
        <v>1177</v>
      </c>
      <c r="F40" s="162"/>
      <c r="G40" s="163"/>
      <c r="H40" s="163"/>
      <c r="I40" s="1369"/>
      <c r="J40" s="1423">
        <v>26</v>
      </c>
      <c r="K40" s="408"/>
      <c r="L40" s="406">
        <v>26</v>
      </c>
      <c r="M40" s="861"/>
      <c r="N40" s="406">
        <v>26</v>
      </c>
      <c r="O40" s="2045"/>
      <c r="P40" s="2503"/>
      <c r="Q40"/>
      <c r="R40"/>
      <c r="S40"/>
      <c r="T40"/>
      <c r="U40"/>
      <c r="V40"/>
      <c r="W40"/>
      <c r="X40"/>
      <c r="Y40"/>
      <c r="Z40"/>
      <c r="AA40"/>
      <c r="AB40"/>
      <c r="AC40"/>
      <c r="AL40" s="411"/>
      <c r="AN40" s="411"/>
      <c r="AO40" s="411"/>
      <c r="AY40" s="131"/>
      <c r="AZ40" s="111"/>
      <c r="BA40" s="111"/>
      <c r="BB40" s="131" t="s">
        <v>402</v>
      </c>
      <c r="BC40" s="699"/>
      <c r="BD40" s="703">
        <v>16.899999999999999</v>
      </c>
      <c r="BE40" s="699"/>
    </row>
    <row r="41" spans="1:57" ht="17.100000000000001" customHeight="1" x14ac:dyDescent="0.2">
      <c r="A41" s="2503"/>
      <c r="C41" s="1376"/>
      <c r="D41" s="130"/>
      <c r="E41" s="249" t="s">
        <v>1192</v>
      </c>
      <c r="F41" s="162"/>
      <c r="G41" s="163"/>
      <c r="H41" s="163"/>
      <c r="I41" s="1369"/>
      <c r="J41" s="1423">
        <v>23</v>
      </c>
      <c r="K41" s="408"/>
      <c r="L41" s="406">
        <v>26</v>
      </c>
      <c r="M41" s="861"/>
      <c r="N41" s="406">
        <v>28</v>
      </c>
      <c r="O41" s="2045"/>
      <c r="P41" s="2503"/>
      <c r="Q41"/>
      <c r="R41"/>
      <c r="S41"/>
      <c r="T41"/>
      <c r="U41"/>
      <c r="V41"/>
      <c r="W41"/>
      <c r="X41"/>
      <c r="Y41"/>
      <c r="Z41"/>
      <c r="AA41"/>
      <c r="AB41"/>
      <c r="AC41"/>
      <c r="AL41" s="411"/>
      <c r="AN41" s="411"/>
      <c r="AO41" s="411"/>
      <c r="AY41" s="139" t="s">
        <v>403</v>
      </c>
      <c r="AZ41" s="121"/>
      <c r="BA41" s="121"/>
      <c r="BB41" s="139" t="s">
        <v>401</v>
      </c>
      <c r="BC41" s="698"/>
      <c r="BD41" s="704">
        <v>7.7</v>
      </c>
      <c r="BE41" s="698"/>
    </row>
    <row r="42" spans="1:57" ht="17.100000000000001" customHeight="1" x14ac:dyDescent="0.2">
      <c r="A42" s="2503"/>
      <c r="C42" s="1376"/>
      <c r="D42" s="130"/>
      <c r="E42" s="543" t="s">
        <v>760</v>
      </c>
      <c r="F42" s="162"/>
      <c r="G42" s="163"/>
      <c r="H42" s="163"/>
      <c r="I42" s="1369"/>
      <c r="J42" s="2226">
        <f>(J95*Preise!$N$58)/(1+Stammdaten!$P$11)</f>
        <v>56.687881250000004</v>
      </c>
      <c r="K42" s="408"/>
      <c r="L42" s="2227">
        <f>(L95*Preise!$N$58)/(1+Stammdaten!$P$11)</f>
        <v>60.52138124999999</v>
      </c>
      <c r="M42" s="861"/>
      <c r="N42" s="2227">
        <f>(N95*Preise!$N$58)/(1+Stammdaten!$P$11)</f>
        <v>64.354881250000005</v>
      </c>
      <c r="O42" s="2045"/>
      <c r="P42" s="2503"/>
      <c r="Q42"/>
      <c r="R42"/>
      <c r="S42"/>
      <c r="T42"/>
      <c r="U42"/>
      <c r="V42"/>
      <c r="W42"/>
      <c r="X42"/>
      <c r="Y42"/>
      <c r="Z42"/>
      <c r="AA42"/>
      <c r="AB42"/>
      <c r="AC42"/>
      <c r="AL42" s="411"/>
      <c r="AN42" s="411"/>
      <c r="AO42" s="411"/>
      <c r="AY42" s="142"/>
      <c r="AZ42" s="127"/>
      <c r="BA42" s="127"/>
      <c r="BB42" s="142" t="s">
        <v>402</v>
      </c>
      <c r="BC42" s="700"/>
      <c r="BD42" s="705">
        <v>10.199999999999999</v>
      </c>
      <c r="BE42" s="700"/>
    </row>
    <row r="43" spans="1:57" ht="17.100000000000001" customHeight="1" x14ac:dyDescent="0.3">
      <c r="A43" s="2503"/>
      <c r="C43" s="1376"/>
      <c r="D43" s="130"/>
      <c r="E43" s="1886" t="s">
        <v>34</v>
      </c>
      <c r="F43" s="2563" t="str">
        <f>"überbetriebliche Gülleausbringung ( "&amp;ROUND(J92,0)&amp;" / "&amp;ROUND(L92,0)&amp;" / "&amp;ROUND(N92,0)&amp;" m³)"</f>
        <v>überbetriebliche Gülleausbringung ( 22 / 22 / 23 m³)</v>
      </c>
      <c r="G43" s="2560"/>
      <c r="H43" s="2560"/>
      <c r="I43" s="1369"/>
      <c r="J43" s="2254">
        <f>((ROUND(J92*Preise!$N$57,0)))/(1+Stammdaten!$P$11)</f>
        <v>102.67857142857142</v>
      </c>
      <c r="K43" s="2557"/>
      <c r="L43" s="2255">
        <f>((ROUND(L92*Preise!$N$57,0)))/(1+Stammdaten!$P$11)</f>
        <v>105.35714285714285</v>
      </c>
      <c r="M43" s="2558"/>
      <c r="N43" s="2255">
        <f>((ROUND(N92*Preise!$N$57,0)))/(1+Stammdaten!$P$11)</f>
        <v>107.14285714285714</v>
      </c>
      <c r="O43" s="2559"/>
      <c r="P43" s="2503"/>
      <c r="Q43"/>
      <c r="R43"/>
      <c r="S43"/>
      <c r="T43"/>
      <c r="U43"/>
      <c r="V43"/>
      <c r="W43"/>
      <c r="X43"/>
      <c r="Y43"/>
      <c r="Z43"/>
      <c r="AA43"/>
      <c r="AB43"/>
      <c r="AC43"/>
      <c r="AL43" s="411"/>
      <c r="AN43" s="411"/>
      <c r="AO43" s="411"/>
      <c r="AY43" s="497" t="s">
        <v>404</v>
      </c>
      <c r="AZ43" s="499"/>
      <c r="BA43" s="499"/>
      <c r="BB43" s="497"/>
      <c r="BC43" s="702"/>
      <c r="BD43" s="706">
        <v>4.5999999999999996</v>
      </c>
      <c r="BE43" s="702"/>
    </row>
    <row r="44" spans="1:57" ht="17.100000000000001" customHeight="1" x14ac:dyDescent="0.2">
      <c r="A44" s="2503"/>
      <c r="C44" s="1365"/>
      <c r="D44" s="138"/>
      <c r="E44" s="251" t="s">
        <v>36</v>
      </c>
      <c r="F44" s="254" t="s">
        <v>37</v>
      </c>
      <c r="G44" s="542"/>
      <c r="H44" s="542"/>
      <c r="I44" s="1379"/>
      <c r="J44" s="1424">
        <v>50</v>
      </c>
      <c r="K44" s="408"/>
      <c r="L44" s="407">
        <v>50</v>
      </c>
      <c r="M44" s="861"/>
      <c r="N44" s="407">
        <v>50</v>
      </c>
      <c r="O44" s="2045"/>
      <c r="P44" s="2503"/>
      <c r="Q44"/>
      <c r="R44"/>
      <c r="S44"/>
      <c r="T44"/>
      <c r="U44"/>
      <c r="V44"/>
      <c r="W44"/>
      <c r="X44"/>
      <c r="Y44"/>
      <c r="Z44"/>
      <c r="AA44"/>
      <c r="AB44"/>
      <c r="AC44"/>
      <c r="AL44" s="411"/>
      <c r="AN44" s="411"/>
      <c r="AO44" s="411"/>
    </row>
    <row r="45" spans="1:57" s="241" customFormat="1" ht="17.100000000000001" customHeight="1" x14ac:dyDescent="0.2">
      <c r="A45" s="2503"/>
      <c r="B45" s="226"/>
      <c r="C45" s="1380"/>
      <c r="D45" s="123" t="s">
        <v>39</v>
      </c>
      <c r="E45" s="151"/>
      <c r="F45" s="121"/>
      <c r="G45" s="130"/>
      <c r="H45" s="152"/>
      <c r="I45" s="1359" t="s">
        <v>61</v>
      </c>
      <c r="J45" s="1370"/>
      <c r="K45" s="136">
        <f>K46*G46/100</f>
        <v>40.558252500000002</v>
      </c>
      <c r="L45" s="863"/>
      <c r="M45" s="853">
        <f>M46*G46/100</f>
        <v>40.558252500000002</v>
      </c>
      <c r="N45" s="139"/>
      <c r="O45" s="1413">
        <f>O46*G46/100</f>
        <v>40.558252500000002</v>
      </c>
      <c r="P45" s="2503"/>
      <c r="Q45"/>
      <c r="R45"/>
      <c r="S45"/>
      <c r="T45"/>
      <c r="U45"/>
      <c r="V45"/>
      <c r="W45"/>
      <c r="X45"/>
      <c r="Y45"/>
      <c r="Z45"/>
      <c r="AA45"/>
      <c r="AB45"/>
      <c r="AC45"/>
      <c r="AL45" s="412"/>
      <c r="AM45" s="412"/>
      <c r="AN45" s="412"/>
      <c r="AO45" s="411"/>
    </row>
    <row r="46" spans="1:57" s="241" customFormat="1" ht="17.100000000000001" customHeight="1" x14ac:dyDescent="0.2">
      <c r="A46" s="2503"/>
      <c r="B46" s="226"/>
      <c r="C46" s="1377"/>
      <c r="D46" s="130"/>
      <c r="E46" s="124" t="s">
        <v>40</v>
      </c>
      <c r="F46" s="130"/>
      <c r="G46" s="263">
        <f>Stammdaten!P30</f>
        <v>1.5</v>
      </c>
      <c r="H46" s="28"/>
      <c r="I46" s="1378" t="s">
        <v>41</v>
      </c>
      <c r="J46" s="1406"/>
      <c r="K46" s="427">
        <f>(K27+(K19)/2)</f>
        <v>2703.8834999999999</v>
      </c>
      <c r="L46" s="851"/>
      <c r="M46" s="864">
        <f>(M27+(M19)/2)</f>
        <v>2703.8834999999999</v>
      </c>
      <c r="N46" s="37"/>
      <c r="O46" s="2046">
        <f>(O27+(O19)/2)</f>
        <v>2703.8834999999999</v>
      </c>
      <c r="P46" s="2503"/>
      <c r="Q46"/>
      <c r="R46"/>
      <c r="S46"/>
      <c r="T46"/>
      <c r="U46"/>
      <c r="V46"/>
      <c r="W46"/>
      <c r="X46"/>
      <c r="Y46"/>
      <c r="Z46"/>
      <c r="AA46"/>
      <c r="AB46"/>
      <c r="AC46"/>
    </row>
    <row r="47" spans="1:57" s="241" customFormat="1" ht="17.100000000000001" customHeight="1" x14ac:dyDescent="0.2">
      <c r="A47" s="2503"/>
      <c r="B47" s="226"/>
      <c r="C47" s="1381"/>
      <c r="D47" s="74" t="s">
        <v>900</v>
      </c>
      <c r="E47" s="121"/>
      <c r="F47" s="121"/>
      <c r="G47" s="121"/>
      <c r="H47" s="121"/>
      <c r="I47" s="1364" t="s">
        <v>1141</v>
      </c>
      <c r="J47" s="2530"/>
      <c r="K47" s="136">
        <f>K51+K54+K57</f>
        <v>1136.0518168999999</v>
      </c>
      <c r="L47" s="2531"/>
      <c r="M47" s="853">
        <f>M51+M54+M57</f>
        <v>1188.4975245000001</v>
      </c>
      <c r="N47" s="2532"/>
      <c r="O47" s="1413">
        <f>O51+O54+O57</f>
        <v>1237.8547841000002</v>
      </c>
      <c r="P47" s="2503"/>
      <c r="Q47"/>
      <c r="R47"/>
      <c r="S47"/>
      <c r="T47"/>
      <c r="U47"/>
      <c r="V47"/>
      <c r="W47"/>
      <c r="X47"/>
      <c r="Y47"/>
      <c r="Z47"/>
      <c r="AA47"/>
      <c r="AB47"/>
      <c r="AC47"/>
      <c r="AL47" s="241" t="s">
        <v>43</v>
      </c>
    </row>
    <row r="48" spans="1:57" s="241" customFormat="1" ht="17.100000000000001" customHeight="1" x14ac:dyDescent="0.2">
      <c r="A48" s="2503"/>
      <c r="B48" s="226"/>
      <c r="C48" s="1377"/>
      <c r="D48" s="130"/>
      <c r="E48" s="150"/>
      <c r="F48" s="130"/>
      <c r="G48" s="130"/>
      <c r="H48" s="28"/>
      <c r="I48" s="1382" t="s">
        <v>194</v>
      </c>
      <c r="J48" s="1406"/>
      <c r="K48" s="2264">
        <f>K47/J49</f>
        <v>0.42585999999999996</v>
      </c>
      <c r="L48" s="851"/>
      <c r="M48" s="2265">
        <f>M47/L49</f>
        <v>0.4173</v>
      </c>
      <c r="N48" s="37"/>
      <c r="O48" s="2266">
        <f>O47/N49</f>
        <v>0.40873999999999999</v>
      </c>
      <c r="P48" s="2503"/>
      <c r="Q48"/>
      <c r="R48"/>
      <c r="S48"/>
      <c r="T48"/>
      <c r="U48"/>
      <c r="V48"/>
      <c r="W48"/>
      <c r="X48"/>
      <c r="Y48"/>
      <c r="Z48"/>
      <c r="AA48"/>
      <c r="AB48"/>
      <c r="AC48"/>
    </row>
    <row r="49" spans="1:60" s="241" customFormat="1" ht="17.100000000000001" customHeight="1" x14ac:dyDescent="0.2">
      <c r="A49" s="2503"/>
      <c r="B49" s="226"/>
      <c r="C49" s="1377"/>
      <c r="D49" s="130"/>
      <c r="E49" s="81" t="s">
        <v>45</v>
      </c>
      <c r="F49" s="111"/>
      <c r="G49" s="478"/>
      <c r="H49" s="28"/>
      <c r="I49" s="1382" t="s">
        <v>46</v>
      </c>
      <c r="J49" s="1425">
        <f>(Kalkulationshilfen!$J$10+J8*Kalkulationshilfen!$J$14)*(100+Kalkulationshilfen!$J$18)/1000</f>
        <v>2667.665</v>
      </c>
      <c r="K49" s="2533" t="str">
        <f>IF(AB57=100,"","100% ?")</f>
        <v/>
      </c>
      <c r="L49" s="865">
        <f>(Kalkulationshilfen!$J$10+L8*Kalkulationshilfen!$J$14)*(100+Kalkulationshilfen!$J$18)/1000</f>
        <v>2848.0650000000001</v>
      </c>
      <c r="M49" s="2534" t="str">
        <f>IF(AD57=100,"","100% ?")</f>
        <v/>
      </c>
      <c r="N49" s="479">
        <f>(Kalkulationshilfen!$J$10+N8*Kalkulationshilfen!$J$14)*(100+Kalkulationshilfen!$J$18)/1000</f>
        <v>3028.4650000000006</v>
      </c>
      <c r="O49" s="2535" t="str">
        <f>IF(AF57=100,"","100% ?")</f>
        <v/>
      </c>
      <c r="P49" s="2503"/>
      <c r="Q49"/>
      <c r="R49"/>
      <c r="S49"/>
      <c r="T49"/>
      <c r="U49"/>
      <c r="V49"/>
      <c r="W49"/>
      <c r="AB49" s="241" t="s">
        <v>155</v>
      </c>
      <c r="AI49" t="s">
        <v>109</v>
      </c>
      <c r="AJ49"/>
      <c r="AK49"/>
      <c r="AO49" t="s">
        <v>111</v>
      </c>
      <c r="AX49" s="2523" t="s">
        <v>593</v>
      </c>
      <c r="AY49" s="2523" t="s">
        <v>179</v>
      </c>
      <c r="AZ49" s="2523" t="s">
        <v>178</v>
      </c>
      <c r="BA49" s="2523" t="s">
        <v>178</v>
      </c>
      <c r="BB49" s="2995" t="s">
        <v>178</v>
      </c>
      <c r="BC49" s="2997" t="s">
        <v>346</v>
      </c>
      <c r="BD49" s="2997" t="s">
        <v>346</v>
      </c>
      <c r="BE49" s="2997" t="s">
        <v>346</v>
      </c>
      <c r="BF49" s="2996" t="s">
        <v>178</v>
      </c>
      <c r="BG49" s="2523" t="s">
        <v>178</v>
      </c>
      <c r="BH49" s="2523" t="s">
        <v>178</v>
      </c>
    </row>
    <row r="50" spans="1:60" s="241" customFormat="1" ht="17.100000000000001" customHeight="1" x14ac:dyDescent="0.2">
      <c r="A50" s="2503"/>
      <c r="B50" s="226"/>
      <c r="C50" s="3820"/>
      <c r="D50" s="3819" t="str">
        <f>VLOOKUP(R50,Preise!$C$62:$E$68,2,FALSE)</f>
        <v>Silomais</v>
      </c>
      <c r="E50" s="2525"/>
      <c r="F50" s="2525"/>
      <c r="G50" s="2257"/>
      <c r="H50" s="2522" t="s">
        <v>515</v>
      </c>
      <c r="I50" s="2258" t="s">
        <v>961</v>
      </c>
      <c r="J50" s="2259">
        <v>40</v>
      </c>
      <c r="K50" s="2260"/>
      <c r="L50" s="2261">
        <v>50</v>
      </c>
      <c r="M50" s="2262"/>
      <c r="N50" s="2261">
        <v>60</v>
      </c>
      <c r="O50" s="2263"/>
      <c r="P50" s="2503"/>
      <c r="Q50"/>
      <c r="R50" s="3817">
        <v>7</v>
      </c>
      <c r="S50" s="2523" t="str">
        <f>VLOOKUP($R$50,Preise!$C$62:$N$68,2,FALSE)</f>
        <v>Silomais</v>
      </c>
      <c r="T50" t="s">
        <v>518</v>
      </c>
      <c r="U50"/>
      <c r="V50"/>
      <c r="W50"/>
      <c r="X50" s="241" t="s">
        <v>1509</v>
      </c>
      <c r="AB50" s="2523">
        <f t="shared" ref="AB50:AG50" si="0">J50</f>
        <v>40</v>
      </c>
      <c r="AC50" s="2523">
        <f t="shared" si="0"/>
        <v>0</v>
      </c>
      <c r="AD50" s="2523">
        <f t="shared" si="0"/>
        <v>50</v>
      </c>
      <c r="AE50" s="2523">
        <f t="shared" si="0"/>
        <v>0</v>
      </c>
      <c r="AF50" s="2523">
        <f t="shared" si="0"/>
        <v>60</v>
      </c>
      <c r="AG50" s="412">
        <f t="shared" si="0"/>
        <v>0</v>
      </c>
      <c r="AI50" s="2523">
        <f t="shared" ref="AI50:AI57" si="1">IF(OR($R50=2,$R50=4,$R50=5,$R50=6),J50,0)</f>
        <v>0</v>
      </c>
      <c r="AK50" s="2523">
        <f t="shared" ref="AK50:AK57" si="2">IF(OR($R50=2,$R50=4,$R50=5,$R50=6),L50,0)</f>
        <v>0</v>
      </c>
      <c r="AM50" s="2523">
        <f t="shared" ref="AM50:AM57" si="3">IF(OR($R50=2,$R50=4,$R50=5,$R50=6),N50,0)</f>
        <v>0</v>
      </c>
      <c r="AO50" s="2523">
        <f t="shared" ref="AO50:AO57" si="4">IF(OR($R50=4,$R50=5),J50,0)</f>
        <v>0</v>
      </c>
      <c r="AQ50" s="2523">
        <f t="shared" ref="AQ50:AQ57" si="5">IF(OR($R50=4,$R50=5),L50,0)</f>
        <v>0</v>
      </c>
      <c r="AS50" s="2523">
        <f t="shared" ref="AS50:AS57" si="6">IF(OR($R50=4,$R50=5),N50,0)</f>
        <v>0</v>
      </c>
      <c r="AX50" s="2523"/>
      <c r="AY50" s="2523"/>
      <c r="BC50" s="117"/>
      <c r="BD50" s="119"/>
      <c r="BE50" s="2994"/>
    </row>
    <row r="51" spans="1:60" s="241" customFormat="1" ht="17.100000000000001" customHeight="1" x14ac:dyDescent="0.2">
      <c r="A51" s="2503"/>
      <c r="B51" s="226"/>
      <c r="C51" s="1377"/>
      <c r="D51" s="2270" t="str">
        <f>"(--&gt;" &amp;R51&amp; "€/10 MJNEL)"</f>
        <v>(--&gt;0,3745€/10 MJNEL)</v>
      </c>
      <c r="F51" s="2271"/>
      <c r="G51" s="478" t="s">
        <v>861</v>
      </c>
      <c r="H51" s="28"/>
      <c r="I51" s="1382" t="s">
        <v>135</v>
      </c>
      <c r="J51" s="1425">
        <f>J49*J50/100</f>
        <v>1067.066</v>
      </c>
      <c r="K51" s="2269">
        <f>$J$51*$R51</f>
        <v>399.61621700000001</v>
      </c>
      <c r="L51" s="865">
        <f>L49*L50/100</f>
        <v>1424.0325</v>
      </c>
      <c r="M51" s="2268">
        <f>$L$51*$R51</f>
        <v>533.30017125000006</v>
      </c>
      <c r="N51" s="479">
        <f>N49*N50/100</f>
        <v>1817.0790000000002</v>
      </c>
      <c r="O51" s="2272">
        <f>$N$51*$R51</f>
        <v>680.49608550000005</v>
      </c>
      <c r="P51" s="2503"/>
      <c r="Q51"/>
      <c r="R51" s="2523">
        <f>VLOOKUP($R$50,Preise!$C$62:$N$69,12,FALSE)</f>
        <v>0.3745</v>
      </c>
      <c r="S51" s="2523" t="s">
        <v>517</v>
      </c>
      <c r="T51" t="s">
        <v>1115</v>
      </c>
      <c r="U51"/>
      <c r="V51"/>
      <c r="W51"/>
      <c r="AB51" s="2523"/>
      <c r="AC51" s="2523"/>
      <c r="AD51" s="2523"/>
      <c r="AE51" s="2523"/>
      <c r="AF51" s="2523"/>
      <c r="AI51" s="2523">
        <f t="shared" si="1"/>
        <v>0</v>
      </c>
      <c r="AK51" s="2523">
        <f t="shared" si="2"/>
        <v>0</v>
      </c>
      <c r="AM51" s="2523">
        <f t="shared" si="3"/>
        <v>0</v>
      </c>
      <c r="AO51" s="2523">
        <f t="shared" si="4"/>
        <v>0</v>
      </c>
      <c r="AQ51" s="2523">
        <f t="shared" si="5"/>
        <v>0</v>
      </c>
      <c r="AS51" s="2523">
        <f t="shared" si="6"/>
        <v>0</v>
      </c>
      <c r="AX51" s="2523">
        <f>VLOOKUP($R$50,Preise!$C$62:$U$69,Preise!$T$60,FALSE)</f>
        <v>7385</v>
      </c>
      <c r="AY51" s="2523">
        <f>VLOOKUP($R$50,Preise!$C$62:$U$69,Preise!$U$60,FALSE)</f>
        <v>15.1</v>
      </c>
      <c r="AZ51" s="2523">
        <f>$J50/100*AY51</f>
        <v>6.04</v>
      </c>
      <c r="BA51" s="2523">
        <f>$L50/100*AY51</f>
        <v>7.55</v>
      </c>
      <c r="BB51" s="2995">
        <f>$N50/100*AY51</f>
        <v>9.0599999999999987</v>
      </c>
      <c r="BC51" s="2997">
        <f>J51/$AX51</f>
        <v>0.1444909952606635</v>
      </c>
      <c r="BD51" s="2997">
        <f>L51/$AX51</f>
        <v>0.1928276912660799</v>
      </c>
      <c r="BE51" s="2997">
        <f>N51/$AX51</f>
        <v>0.2460499661475965</v>
      </c>
      <c r="BF51" s="2996">
        <f>$AY51*BC51</f>
        <v>2.181814028436019</v>
      </c>
      <c r="BG51" s="2523">
        <f>$AY51*BD51</f>
        <v>2.9116981381178064</v>
      </c>
      <c r="BH51" s="2523">
        <f>$AY51*BE51</f>
        <v>3.7153544888287069</v>
      </c>
    </row>
    <row r="52" spans="1:60" s="241" customFormat="1" ht="17.100000000000001" customHeight="1" x14ac:dyDescent="0.2">
      <c r="A52" s="2503"/>
      <c r="B52" s="226"/>
      <c r="C52" s="1377"/>
      <c r="D52" s="2270" t="str">
        <f>"(--&gt;" &amp;R52&amp; "€/10 MJNEL)"</f>
        <v>(--&gt;0,1605€/10 MJNEL)</v>
      </c>
      <c r="E52" s="2270"/>
      <c r="F52" s="2271"/>
      <c r="G52" s="478" t="s">
        <v>474</v>
      </c>
      <c r="H52" s="28"/>
      <c r="I52" s="1382"/>
      <c r="J52" s="1425"/>
      <c r="K52" s="2269">
        <f>$J51*$R52</f>
        <v>171.264093</v>
      </c>
      <c r="L52" s="865"/>
      <c r="M52" s="2268">
        <f>$L51*$R52</f>
        <v>228.55721625000001</v>
      </c>
      <c r="N52" s="479"/>
      <c r="O52" s="2267">
        <f>$N51*$R52</f>
        <v>291.64117950000002</v>
      </c>
      <c r="P52" s="2503"/>
      <c r="Q52"/>
      <c r="R52" s="2523">
        <f>VLOOKUP($R$50,Preise!$C$74:$N$81,12,FALSE)</f>
        <v>0.1605</v>
      </c>
      <c r="S52" s="2523" t="s">
        <v>517</v>
      </c>
      <c r="T52" t="s">
        <v>474</v>
      </c>
      <c r="U52"/>
      <c r="V52"/>
      <c r="W52"/>
      <c r="AB52" s="2523"/>
      <c r="AC52" s="2523"/>
      <c r="AD52" s="2523"/>
      <c r="AE52" s="2523"/>
      <c r="AF52" s="2523"/>
      <c r="AI52" s="2523"/>
      <c r="AK52" s="2523"/>
      <c r="AM52" s="2523"/>
      <c r="AO52" s="2523"/>
      <c r="AQ52" s="2523"/>
      <c r="AS52" s="2523"/>
      <c r="AX52" s="2523"/>
      <c r="AY52" s="2523"/>
      <c r="BC52" s="117"/>
      <c r="BD52" s="119"/>
      <c r="BE52" s="2994"/>
    </row>
    <row r="53" spans="1:60" s="241" customFormat="1" ht="17.100000000000001" customHeight="1" x14ac:dyDescent="0.2">
      <c r="A53" s="2503"/>
      <c r="B53" s="226"/>
      <c r="C53" s="3820"/>
      <c r="D53" s="3819" t="str">
        <f>VLOOKUP(R53,Preise!$C$62:$E$68,2,FALSE)</f>
        <v>Grünland, Silage</v>
      </c>
      <c r="E53" s="2525"/>
      <c r="F53" s="2525"/>
      <c r="G53" s="2257"/>
      <c r="H53" s="2522" t="s">
        <v>516</v>
      </c>
      <c r="I53" s="2258" t="s">
        <v>961</v>
      </c>
      <c r="J53" s="2259">
        <v>60</v>
      </c>
      <c r="K53" s="2260"/>
      <c r="L53" s="2538">
        <v>50</v>
      </c>
      <c r="M53" s="2262"/>
      <c r="N53" s="2538">
        <v>40</v>
      </c>
      <c r="O53" s="2263"/>
      <c r="P53" s="2503"/>
      <c r="Q53"/>
      <c r="R53" s="3817">
        <v>1</v>
      </c>
      <c r="S53" s="2523" t="str">
        <f>VLOOKUP($R$53,Preise!$C$62:$N$68,2,FALSE)</f>
        <v>Grünland, Silage</v>
      </c>
      <c r="T53" t="s">
        <v>518</v>
      </c>
      <c r="U53"/>
      <c r="V53"/>
      <c r="W53"/>
      <c r="X53" s="241" t="s">
        <v>1509</v>
      </c>
      <c r="AB53" s="2523">
        <f>J53</f>
        <v>60</v>
      </c>
      <c r="AC53" s="2523">
        <f>K53</f>
        <v>0</v>
      </c>
      <c r="AD53" s="2523">
        <f>L53</f>
        <v>50</v>
      </c>
      <c r="AE53" s="2523">
        <f>M53</f>
        <v>0</v>
      </c>
      <c r="AF53" s="2523">
        <f>N53</f>
        <v>40</v>
      </c>
      <c r="AI53" s="2523">
        <f t="shared" si="1"/>
        <v>0</v>
      </c>
      <c r="AK53" s="2523">
        <f t="shared" si="2"/>
        <v>0</v>
      </c>
      <c r="AM53" s="2523">
        <f t="shared" si="3"/>
        <v>0</v>
      </c>
      <c r="AO53" s="2523">
        <f t="shared" si="4"/>
        <v>0</v>
      </c>
      <c r="AQ53" s="2523">
        <f t="shared" si="5"/>
        <v>0</v>
      </c>
      <c r="AS53" s="2523">
        <f t="shared" si="6"/>
        <v>0</v>
      </c>
      <c r="AX53" s="2523"/>
      <c r="AY53" s="2523"/>
      <c r="BC53" s="117"/>
      <c r="BD53" s="119"/>
      <c r="BE53" s="2994"/>
    </row>
    <row r="54" spans="1:60" s="241" customFormat="1" ht="17.100000000000001" customHeight="1" x14ac:dyDescent="0.2">
      <c r="A54" s="2503"/>
      <c r="B54" s="226"/>
      <c r="C54" s="1377"/>
      <c r="D54" s="2270" t="str">
        <f>"(--&gt;" &amp;R54&amp; "€/10 MJNEL)"</f>
        <v>(--&gt;0,4601€/10 MJNEL)</v>
      </c>
      <c r="F54" s="2271"/>
      <c r="G54" s="478" t="s">
        <v>861</v>
      </c>
      <c r="H54" s="28"/>
      <c r="I54" s="1382" t="s">
        <v>136</v>
      </c>
      <c r="J54" s="1425">
        <f>J49*J53/100</f>
        <v>1600.5989999999999</v>
      </c>
      <c r="K54" s="2269">
        <f>J54*$R$54</f>
        <v>736.43559989999994</v>
      </c>
      <c r="L54" s="865">
        <f>L49*L53/100</f>
        <v>1424.0325</v>
      </c>
      <c r="M54" s="2268">
        <f>L54*$R$54</f>
        <v>655.19735324999999</v>
      </c>
      <c r="N54" s="479">
        <f>N49*N53/100</f>
        <v>1211.3860000000002</v>
      </c>
      <c r="O54" s="2272">
        <f>N54*$R$54</f>
        <v>557.35869860000014</v>
      </c>
      <c r="P54" s="2503"/>
      <c r="Q54"/>
      <c r="R54" s="2523">
        <f>VLOOKUP($R$53,Preise!$C$62:$N$69,12,FALSE)</f>
        <v>0.46010000000000001</v>
      </c>
      <c r="S54" s="2523" t="s">
        <v>517</v>
      </c>
      <c r="T54" t="s">
        <v>1115</v>
      </c>
      <c r="U54"/>
      <c r="V54"/>
      <c r="W54"/>
      <c r="AB54" s="2523"/>
      <c r="AC54" s="2523"/>
      <c r="AD54" s="2523"/>
      <c r="AE54" s="2523"/>
      <c r="AF54" s="2523"/>
      <c r="AI54" s="2523">
        <f t="shared" si="1"/>
        <v>0</v>
      </c>
      <c r="AK54" s="2523">
        <f t="shared" si="2"/>
        <v>0</v>
      </c>
      <c r="AM54" s="2523">
        <f t="shared" si="3"/>
        <v>0</v>
      </c>
      <c r="AO54" s="2523">
        <f t="shared" si="4"/>
        <v>0</v>
      </c>
      <c r="AQ54" s="2523">
        <f t="shared" si="5"/>
        <v>0</v>
      </c>
      <c r="AS54" s="2523">
        <f t="shared" si="6"/>
        <v>0</v>
      </c>
      <c r="AX54" s="2523">
        <f>VLOOKUP($R$53,Preise!$C$62:$U$69,Preise!$T$60,FALSE)</f>
        <v>4117</v>
      </c>
      <c r="AY54" s="2523">
        <f>VLOOKUP($R$53,Preise!$C$62:$U$69,Preise!$U$60,FALSE)</f>
        <v>12.8</v>
      </c>
      <c r="AZ54" s="2523">
        <f>$J53/100*AY54</f>
        <v>7.68</v>
      </c>
      <c r="BA54" s="2523">
        <f>$L53/100*AY54</f>
        <v>6.4</v>
      </c>
      <c r="BB54" s="2995">
        <f>$N53/100*AY54</f>
        <v>5.120000000000001</v>
      </c>
      <c r="BC54" s="2997">
        <f>J54/$AX54</f>
        <v>0.38877799368472188</v>
      </c>
      <c r="BD54" s="2997">
        <f>L54/$AX54</f>
        <v>0.34589081855720183</v>
      </c>
      <c r="BE54" s="2997">
        <f>N54/$AX54</f>
        <v>0.29423998056837508</v>
      </c>
      <c r="BF54" s="2996">
        <f>$AY54*BC54</f>
        <v>4.97635831916444</v>
      </c>
      <c r="BG54" s="2523">
        <f>$AY54*BD54</f>
        <v>4.4274024775321834</v>
      </c>
      <c r="BH54" s="2523">
        <f>$AY54*BE54</f>
        <v>3.7662717512752013</v>
      </c>
    </row>
    <row r="55" spans="1:60" s="241" customFormat="1" ht="17.100000000000001" customHeight="1" x14ac:dyDescent="0.2">
      <c r="A55" s="2503"/>
      <c r="B55" s="226"/>
      <c r="C55" s="1377"/>
      <c r="D55" s="2270" t="str">
        <f>"(--&gt;" &amp;R55&amp; "€/10 MJNEL)"</f>
        <v>(--&gt;0,1498€/10 MJNEL)</v>
      </c>
      <c r="E55" s="2270"/>
      <c r="F55" s="2271"/>
      <c r="G55" s="478" t="s">
        <v>474</v>
      </c>
      <c r="H55" s="28"/>
      <c r="I55" s="1382"/>
      <c r="J55" s="1425"/>
      <c r="K55" s="2269">
        <f>$J54*$R55</f>
        <v>239.76973020000003</v>
      </c>
      <c r="L55" s="865"/>
      <c r="M55" s="2268">
        <f>$L54*$R55</f>
        <v>213.32006850000002</v>
      </c>
      <c r="N55" s="479"/>
      <c r="O55" s="2267">
        <f>$N54*$R55</f>
        <v>181.46562280000006</v>
      </c>
      <c r="P55" s="2503"/>
      <c r="Q55"/>
      <c r="R55" s="2523">
        <f>VLOOKUP($R$53,Preise!$C$74:$N$81,12,FALSE)</f>
        <v>0.14980000000000002</v>
      </c>
      <c r="S55" s="2523" t="s">
        <v>517</v>
      </c>
      <c r="T55" t="s">
        <v>474</v>
      </c>
      <c r="U55"/>
      <c r="V55"/>
      <c r="W55"/>
      <c r="AB55" s="2523"/>
      <c r="AC55" s="2523"/>
      <c r="AD55" s="2523"/>
      <c r="AE55" s="2523"/>
      <c r="AF55" s="2523"/>
      <c r="AI55" s="2523"/>
      <c r="AK55" s="2523"/>
      <c r="AM55" s="2523"/>
      <c r="AO55" s="2523"/>
      <c r="AQ55" s="2523"/>
      <c r="AS55" s="2523"/>
      <c r="AX55" s="2523"/>
      <c r="AY55" s="2523"/>
      <c r="BC55" s="117"/>
      <c r="BD55" s="119"/>
      <c r="BE55" s="2994"/>
    </row>
    <row r="56" spans="1:60" s="241" customFormat="1" ht="17.100000000000001" customHeight="1" x14ac:dyDescent="0.2">
      <c r="A56" s="2503"/>
      <c r="B56" s="226"/>
      <c r="C56" s="1377"/>
      <c r="D56" s="130" t="str">
        <f>VLOOKUP(R56,Preise!$C$62:$E$68,2,FALSE)</f>
        <v>Weide, extensiv</v>
      </c>
      <c r="E56" s="2270"/>
      <c r="F56" s="2525"/>
      <c r="G56" s="2257"/>
      <c r="H56" s="2522" t="s">
        <v>516</v>
      </c>
      <c r="I56" s="2258" t="s">
        <v>961</v>
      </c>
      <c r="J56" s="2259"/>
      <c r="K56" s="2526"/>
      <c r="L56" s="2261"/>
      <c r="M56" s="2527"/>
      <c r="N56" s="2261"/>
      <c r="O56" s="2528"/>
      <c r="P56" s="2503"/>
      <c r="Q56"/>
      <c r="R56" s="2523">
        <v>4</v>
      </c>
      <c r="S56" s="2523" t="str">
        <f>VLOOKUP($R$56,Preise!$C$62:$N$68,2,FALSE)</f>
        <v>Weide, extensiv</v>
      </c>
      <c r="T56" t="s">
        <v>518</v>
      </c>
      <c r="U56"/>
      <c r="V56"/>
      <c r="W56"/>
      <c r="AB56" s="2523">
        <f>J56</f>
        <v>0</v>
      </c>
      <c r="AC56" s="2523">
        <f>K56</f>
        <v>0</v>
      </c>
      <c r="AD56" s="2523">
        <f>L56</f>
        <v>0</v>
      </c>
      <c r="AE56" s="2523">
        <f>M56</f>
        <v>0</v>
      </c>
      <c r="AF56" s="2523">
        <f>N56</f>
        <v>0</v>
      </c>
      <c r="AI56" s="2523">
        <f t="shared" si="1"/>
        <v>0</v>
      </c>
      <c r="AK56" s="2523">
        <f t="shared" si="2"/>
        <v>0</v>
      </c>
      <c r="AM56" s="2523">
        <f t="shared" si="3"/>
        <v>0</v>
      </c>
      <c r="AO56" s="2523">
        <f t="shared" si="4"/>
        <v>0</v>
      </c>
      <c r="AQ56" s="2523">
        <f t="shared" si="5"/>
        <v>0</v>
      </c>
      <c r="AS56" s="2523">
        <f t="shared" si="6"/>
        <v>0</v>
      </c>
      <c r="AX56" s="2523"/>
      <c r="AY56" s="2523"/>
      <c r="BC56" s="117"/>
      <c r="BD56" s="119"/>
      <c r="BE56" s="2994"/>
    </row>
    <row r="57" spans="1:60" s="241" customFormat="1" ht="16.5" customHeight="1" x14ac:dyDescent="0.2">
      <c r="A57" s="2503"/>
      <c r="B57" s="226"/>
      <c r="C57" s="1377"/>
      <c r="D57" s="2270" t="str">
        <f>"(--&gt;" &amp;R57&amp; "€/10 MJNEL)"</f>
        <v>(--&gt;0,3959€/10 MJNEL)</v>
      </c>
      <c r="G57" s="478" t="s">
        <v>861</v>
      </c>
      <c r="H57" s="28"/>
      <c r="I57" s="1382" t="s">
        <v>136</v>
      </c>
      <c r="J57" s="1425">
        <f>J49*J56/100</f>
        <v>0</v>
      </c>
      <c r="K57" s="2269">
        <f>J57*$R$57</f>
        <v>0</v>
      </c>
      <c r="L57" s="865">
        <f>L49*L56/100</f>
        <v>0</v>
      </c>
      <c r="M57" s="2268">
        <f>L57*$R$57</f>
        <v>0</v>
      </c>
      <c r="N57" s="479">
        <f>N49*N56/100</f>
        <v>0</v>
      </c>
      <c r="O57" s="2272">
        <f>N57*$R$57</f>
        <v>0</v>
      </c>
      <c r="P57" s="2503"/>
      <c r="Q57"/>
      <c r="R57" s="2523">
        <f>VLOOKUP($R$56,Preise!$C$62:$N$69,12,FALSE)</f>
        <v>0.39589999999999997</v>
      </c>
      <c r="S57" s="2523" t="s">
        <v>517</v>
      </c>
      <c r="T57" t="s">
        <v>1115</v>
      </c>
      <c r="U57"/>
      <c r="V57"/>
      <c r="W57"/>
      <c r="AB57" s="2523">
        <f>SUM(AB50:AB56)</f>
        <v>100</v>
      </c>
      <c r="AC57" s="2523">
        <f>SUM(AC50:AC56)</f>
        <v>0</v>
      </c>
      <c r="AD57" s="2523">
        <f>SUM(AD50:AD56)</f>
        <v>100</v>
      </c>
      <c r="AE57" s="2523">
        <f>SUM(AE50:AE56)</f>
        <v>0</v>
      </c>
      <c r="AF57" s="2523">
        <f>SUM(AF50:AF56)</f>
        <v>100</v>
      </c>
      <c r="AI57" s="2523">
        <f t="shared" si="1"/>
        <v>0</v>
      </c>
      <c r="AK57" s="2523">
        <f t="shared" si="2"/>
        <v>0</v>
      </c>
      <c r="AM57" s="2523">
        <f t="shared" si="3"/>
        <v>0</v>
      </c>
      <c r="AO57" s="2523">
        <f t="shared" si="4"/>
        <v>0</v>
      </c>
      <c r="AQ57" s="2523">
        <f t="shared" si="5"/>
        <v>0</v>
      </c>
      <c r="AS57" s="2523">
        <f t="shared" si="6"/>
        <v>0</v>
      </c>
      <c r="AX57" s="2523">
        <f>VLOOKUP($R$56,Preise!$C$62:$U$69,Preise!$T$60,FALSE)</f>
        <v>2439</v>
      </c>
      <c r="AY57" s="2523">
        <f>VLOOKUP($R56,Preise!$C$62:$U$69,Preise!$U$60,FALSE)</f>
        <v>15</v>
      </c>
      <c r="AZ57" s="2523">
        <f>$J56/100*AY57</f>
        <v>0</v>
      </c>
      <c r="BA57" s="2523">
        <f>$L56/100*AY57</f>
        <v>0</v>
      </c>
      <c r="BB57" s="2995">
        <f>$N56/100*AY57</f>
        <v>0</v>
      </c>
      <c r="BC57" s="2997">
        <f>J57/$AX57</f>
        <v>0</v>
      </c>
      <c r="BD57" s="2997">
        <f>L57/$AX57</f>
        <v>0</v>
      </c>
      <c r="BE57" s="2997">
        <f>N57/$AX57</f>
        <v>0</v>
      </c>
      <c r="BF57" s="2996">
        <f>$AY57*BC57</f>
        <v>0</v>
      </c>
      <c r="BG57" s="2523">
        <f>$AY57*BD57</f>
        <v>0</v>
      </c>
      <c r="BH57" s="2523">
        <f>$AY57*BE57</f>
        <v>0</v>
      </c>
    </row>
    <row r="58" spans="1:60" s="241" customFormat="1" ht="16.5" customHeight="1" x14ac:dyDescent="0.2">
      <c r="A58" s="2503"/>
      <c r="B58" s="226"/>
      <c r="C58" s="1377"/>
      <c r="D58" s="2529" t="str">
        <f>"(--&gt;" &amp;R58&amp; "€/10 MJNEL)"</f>
        <v>(--&gt;0,1177€/10 MJNEL)</v>
      </c>
      <c r="E58" s="2529"/>
      <c r="F58" s="135"/>
      <c r="G58" s="2656" t="s">
        <v>474</v>
      </c>
      <c r="H58" s="16"/>
      <c r="I58" s="2657"/>
      <c r="J58" s="1426"/>
      <c r="K58" s="2269">
        <f>$J57*$R58</f>
        <v>0</v>
      </c>
      <c r="L58" s="865"/>
      <c r="M58" s="2268">
        <f>$L57*$R58</f>
        <v>0</v>
      </c>
      <c r="N58" s="479"/>
      <c r="O58" s="2267">
        <f>$N57*$R58</f>
        <v>0</v>
      </c>
      <c r="P58" s="2503"/>
      <c r="Q58"/>
      <c r="R58" s="2523">
        <f>VLOOKUP($R$56,Preise!$C$74:$N$81,12,FALSE)</f>
        <v>0.1177</v>
      </c>
      <c r="S58" s="2523" t="s">
        <v>517</v>
      </c>
      <c r="T58" t="s">
        <v>474</v>
      </c>
      <c r="U58"/>
      <c r="V58"/>
      <c r="W58"/>
      <c r="AB58" s="2523"/>
      <c r="AC58" s="2523"/>
      <c r="AD58" s="2523"/>
      <c r="AE58" s="2523"/>
      <c r="AF58" s="2523"/>
      <c r="AI58" s="2523"/>
      <c r="AK58" s="2523"/>
      <c r="AM58" s="2523"/>
      <c r="AO58" s="2523"/>
      <c r="AQ58" s="2523"/>
      <c r="AS58" s="2523"/>
      <c r="AX58" s="2523"/>
      <c r="AY58" s="2523"/>
      <c r="BC58" s="117"/>
      <c r="BD58" s="119"/>
      <c r="BE58" s="2994"/>
    </row>
    <row r="59" spans="1:60" s="241" customFormat="1" ht="17.100000000000001" customHeight="1" x14ac:dyDescent="0.2">
      <c r="A59" s="2503"/>
      <c r="B59" s="226"/>
      <c r="C59" s="1380"/>
      <c r="D59" s="73" t="s">
        <v>514</v>
      </c>
      <c r="E59" s="71"/>
      <c r="F59" s="111" t="str">
        <f>"(ohne Fu-bau, bei "&amp;Stammdaten!$P$39&amp;" €/AKh)"</f>
        <v>(ohne Fu-bau, bei 17,5 €/AKh)</v>
      </c>
      <c r="G59" s="111"/>
      <c r="H59" s="111"/>
      <c r="I59" s="1386" t="s">
        <v>1141</v>
      </c>
      <c r="J59" s="1427"/>
      <c r="K59" s="140">
        <f>J60*Stammdaten!$P$39</f>
        <v>787.5</v>
      </c>
      <c r="L59" s="2536"/>
      <c r="M59" s="839">
        <f>L60*Stammdaten!$P$39</f>
        <v>822.5</v>
      </c>
      <c r="N59" s="2537"/>
      <c r="O59" s="2036">
        <f>N60*Stammdaten!$P$39</f>
        <v>857.5</v>
      </c>
      <c r="P59" s="2503"/>
      <c r="Q59"/>
      <c r="R59"/>
      <c r="S59"/>
      <c r="T59"/>
      <c r="U59"/>
      <c r="V59"/>
      <c r="W59"/>
      <c r="X59"/>
      <c r="Y59"/>
      <c r="Z59"/>
      <c r="AH59" s="241" t="s">
        <v>582</v>
      </c>
      <c r="AI59" s="2523">
        <f>AI50+AI53+AI56</f>
        <v>0</v>
      </c>
      <c r="AK59" s="2523">
        <f>AK50+AK53+AK56</f>
        <v>0</v>
      </c>
      <c r="AM59" s="2523">
        <f>AM50+AM53+AM56</f>
        <v>0</v>
      </c>
      <c r="AN59" s="109" t="s">
        <v>582</v>
      </c>
      <c r="AO59" s="2523">
        <f>AO50+AO53+AO56</f>
        <v>0</v>
      </c>
      <c r="AQ59" s="2523">
        <f>AQ50+AQ53+AQ56</f>
        <v>0</v>
      </c>
      <c r="AS59" s="2523">
        <f>AS50+AS53+AS56</f>
        <v>0</v>
      </c>
      <c r="AX59" s="2523"/>
      <c r="AY59" s="2523"/>
      <c r="BC59" s="117"/>
      <c r="BD59" s="119"/>
      <c r="BE59" s="2994"/>
    </row>
    <row r="60" spans="1:60" s="241" customFormat="1" ht="17.100000000000001" customHeight="1" x14ac:dyDescent="0.2">
      <c r="A60" s="2503"/>
      <c r="B60" s="226"/>
      <c r="C60" s="1383"/>
      <c r="D60" s="138"/>
      <c r="E60" s="82" t="s">
        <v>48</v>
      </c>
      <c r="F60" s="79"/>
      <c r="G60" s="127"/>
      <c r="H60" s="127"/>
      <c r="I60" s="1385" t="s">
        <v>49</v>
      </c>
      <c r="J60" s="1428">
        <v>45</v>
      </c>
      <c r="K60" s="154"/>
      <c r="L60" s="165">
        <v>47</v>
      </c>
      <c r="M60" s="866"/>
      <c r="N60" s="165">
        <v>49</v>
      </c>
      <c r="O60" s="2047"/>
      <c r="P60" s="2503"/>
      <c r="Q60"/>
      <c r="R60"/>
      <c r="S60"/>
      <c r="T60"/>
      <c r="U60"/>
      <c r="V60"/>
      <c r="W60"/>
      <c r="X60"/>
      <c r="Y60"/>
      <c r="Z60"/>
      <c r="AB60" s="241" t="s">
        <v>110</v>
      </c>
      <c r="AX60" s="241" t="s">
        <v>180</v>
      </c>
      <c r="AZ60" s="2523">
        <f t="shared" ref="AZ60:BH60" si="7">AZ51+AZ54+AZ57</f>
        <v>13.719999999999999</v>
      </c>
      <c r="BA60" s="2523">
        <f t="shared" si="7"/>
        <v>13.95</v>
      </c>
      <c r="BB60" s="2995">
        <f t="shared" si="7"/>
        <v>14.18</v>
      </c>
      <c r="BC60" s="2997">
        <f t="shared" si="7"/>
        <v>0.53326898894538544</v>
      </c>
      <c r="BD60" s="2997">
        <f t="shared" si="7"/>
        <v>0.53871850982328173</v>
      </c>
      <c r="BE60" s="2997">
        <f t="shared" si="7"/>
        <v>0.54028994671597164</v>
      </c>
      <c r="BF60" s="2996">
        <f t="shared" si="7"/>
        <v>7.1581723476004591</v>
      </c>
      <c r="BG60" s="2523">
        <f t="shared" si="7"/>
        <v>7.3391006156499898</v>
      </c>
      <c r="BH60" s="2523">
        <f t="shared" si="7"/>
        <v>7.4816262401039086</v>
      </c>
    </row>
    <row r="61" spans="1:60" s="241" customFormat="1" ht="17.100000000000001" customHeight="1" x14ac:dyDescent="0.2">
      <c r="A61" s="2503"/>
      <c r="B61" s="226"/>
      <c r="C61" s="1377"/>
      <c r="D61" s="2691" t="s">
        <v>592</v>
      </c>
      <c r="F61" s="2691"/>
      <c r="G61" s="2692"/>
      <c r="H61" s="2692"/>
      <c r="I61" s="2693" t="s">
        <v>865</v>
      </c>
      <c r="J61" s="2658">
        <f>BF60</f>
        <v>7.1581723476004591</v>
      </c>
      <c r="K61" s="2694">
        <f>J61*Stammdaten!$P$39</f>
        <v>125.26801608300804</v>
      </c>
      <c r="L61" s="2660">
        <f>BG60</f>
        <v>7.3391006156499898</v>
      </c>
      <c r="M61" s="2695">
        <f>L61*Stammdaten!$P$39</f>
        <v>128.43426077387483</v>
      </c>
      <c r="N61" s="2659">
        <f>BH60</f>
        <v>7.4816262401039086</v>
      </c>
      <c r="O61" s="2696">
        <f>N61*Stammdaten!$P$39</f>
        <v>130.92845920181841</v>
      </c>
      <c r="P61" s="2503"/>
      <c r="Q61"/>
      <c r="R61"/>
      <c r="S61"/>
      <c r="T61"/>
      <c r="U61"/>
      <c r="V61"/>
      <c r="W61"/>
      <c r="X61"/>
      <c r="Y61"/>
      <c r="Z61"/>
    </row>
    <row r="62" spans="1:60" ht="21.2" customHeight="1" x14ac:dyDescent="0.2">
      <c r="A62" s="2503"/>
      <c r="C62" s="1370"/>
      <c r="D62" s="115" t="s">
        <v>50</v>
      </c>
      <c r="E62" s="113"/>
      <c r="F62" s="121"/>
      <c r="G62" s="121"/>
      <c r="H62" s="121"/>
      <c r="I62" s="1384" t="s">
        <v>51</v>
      </c>
      <c r="J62" s="1429"/>
      <c r="K62" s="136">
        <f>M62</f>
        <v>483.69533333333328</v>
      </c>
      <c r="L62" s="957"/>
      <c r="M62" s="853">
        <f>Stammdaten!S52</f>
        <v>483.69533333333328</v>
      </c>
      <c r="N62" s="223"/>
      <c r="O62" s="1413">
        <f>M62</f>
        <v>483.69533333333328</v>
      </c>
      <c r="P62" s="2503"/>
      <c r="Q62"/>
      <c r="R62"/>
      <c r="S62"/>
      <c r="T62"/>
      <c r="U62"/>
      <c r="V62"/>
      <c r="W62"/>
      <c r="X62"/>
      <c r="Y62"/>
      <c r="Z62"/>
      <c r="AM62"/>
      <c r="AN62"/>
      <c r="AO62"/>
    </row>
    <row r="63" spans="1:60" ht="21.2" customHeight="1" x14ac:dyDescent="0.2">
      <c r="A63" s="2503"/>
      <c r="C63" s="1371"/>
      <c r="D63" s="123" t="s">
        <v>52</v>
      </c>
      <c r="E63" s="130"/>
      <c r="I63" s="1386" t="s">
        <v>51</v>
      </c>
      <c r="J63" s="1371"/>
      <c r="K63" s="156">
        <f>M63</f>
        <v>268.0435333333333</v>
      </c>
      <c r="L63" s="958"/>
      <c r="M63" s="854">
        <f>Stammdaten!V52</f>
        <v>268.0435333333333</v>
      </c>
      <c r="N63" s="959"/>
      <c r="O63" s="1414">
        <f>M63</f>
        <v>268.0435333333333</v>
      </c>
      <c r="P63" s="2503"/>
      <c r="Q63"/>
      <c r="R63"/>
      <c r="S63"/>
      <c r="T63"/>
      <c r="U63"/>
      <c r="V63"/>
      <c r="W63"/>
      <c r="X63"/>
      <c r="Y63"/>
      <c r="Z63"/>
      <c r="AB63"/>
      <c r="AC63"/>
      <c r="AD63"/>
      <c r="AG63"/>
      <c r="AH63"/>
      <c r="AM63"/>
      <c r="AN63"/>
      <c r="AO63"/>
    </row>
    <row r="64" spans="1:60" ht="21.2" customHeight="1" thickBot="1" x14ac:dyDescent="0.25">
      <c r="A64" s="2503"/>
      <c r="C64" s="1388"/>
      <c r="D64" s="3066" t="s">
        <v>53</v>
      </c>
      <c r="E64" s="1389"/>
      <c r="F64" s="1390"/>
      <c r="G64" s="1390"/>
      <c r="H64" s="1390"/>
      <c r="I64" s="3067" t="s">
        <v>51</v>
      </c>
      <c r="J64" s="1388"/>
      <c r="K64" s="3068">
        <f>M64</f>
        <v>93.12939999999999</v>
      </c>
      <c r="L64" s="3069"/>
      <c r="M64" s="3070">
        <f>Stammdaten!X52</f>
        <v>93.12939999999999</v>
      </c>
      <c r="N64" s="3071"/>
      <c r="O64" s="3072">
        <f>M64</f>
        <v>93.12939999999999</v>
      </c>
      <c r="P64" s="2503"/>
      <c r="Q64" s="152"/>
      <c r="R64" s="533"/>
      <c r="S64"/>
      <c r="T64"/>
      <c r="U64"/>
      <c r="V64"/>
      <c r="W64"/>
      <c r="X64"/>
      <c r="Y64"/>
      <c r="Z64"/>
      <c r="AB64"/>
      <c r="AC64"/>
      <c r="AD64"/>
      <c r="AG64"/>
      <c r="AH64"/>
      <c r="AM64"/>
      <c r="AN64"/>
      <c r="AO64"/>
    </row>
    <row r="65" spans="1:38" ht="21.2" hidden="1" customHeight="1" x14ac:dyDescent="0.2">
      <c r="A65" s="2503"/>
      <c r="C65" s="1371"/>
      <c r="D65" s="123" t="s">
        <v>54</v>
      </c>
      <c r="I65" s="1386" t="s">
        <v>1141</v>
      </c>
      <c r="J65" s="3064"/>
      <c r="K65" s="156">
        <f>IF(Stammdaten!P54=0,0,K67/Stammdaten!$P$55+K67*Stammdaten!$P$33/100/2)</f>
        <v>0</v>
      </c>
      <c r="L65" s="3065"/>
      <c r="M65" s="854">
        <f>IF(Stammdaten!P54=0,0,M67/Stammdaten!$P$55+M67*Stammdaten!$P$33/100/2)</f>
        <v>0</v>
      </c>
      <c r="N65" s="22"/>
      <c r="O65" s="1414">
        <f>IF(Stammdaten!P54=0,0,O67/Stammdaten!$P$55+O67*Stammdaten!$P$33/100/2)</f>
        <v>0</v>
      </c>
      <c r="P65" s="2503"/>
      <c r="Q65"/>
      <c r="R65"/>
      <c r="S65" s="246"/>
      <c r="T65" s="246"/>
      <c r="U65" s="108"/>
      <c r="V65" s="108"/>
      <c r="AB65"/>
      <c r="AC65"/>
      <c r="AD65"/>
    </row>
    <row r="66" spans="1:38" ht="17.100000000000001" hidden="1" customHeight="1" x14ac:dyDescent="0.2">
      <c r="A66" s="2503"/>
      <c r="C66" s="1371"/>
      <c r="D66" s="123"/>
      <c r="E66" s="22" t="s">
        <v>55</v>
      </c>
      <c r="I66" s="1368" t="s">
        <v>1143</v>
      </c>
      <c r="J66" s="1430">
        <f>L66</f>
        <v>0</v>
      </c>
      <c r="K66" s="403">
        <f>M66</f>
        <v>0</v>
      </c>
      <c r="L66" s="867">
        <f>M66</f>
        <v>0</v>
      </c>
      <c r="M66" s="868">
        <f>Stammdaten!P54</f>
        <v>0</v>
      </c>
      <c r="N66" s="402">
        <f>L66</f>
        <v>0</v>
      </c>
      <c r="O66" s="2048">
        <f>M66</f>
        <v>0</v>
      </c>
      <c r="P66" s="2503"/>
      <c r="Q66"/>
      <c r="R66"/>
      <c r="S66" s="242"/>
      <c r="T66" s="242"/>
      <c r="U66" s="108"/>
      <c r="V66" s="108"/>
      <c r="AC66"/>
      <c r="AD66"/>
      <c r="AL66"/>
    </row>
    <row r="67" spans="1:38" ht="17.100000000000001" hidden="1" customHeight="1" x14ac:dyDescent="0.2">
      <c r="A67" s="2503"/>
      <c r="C67" s="1371"/>
      <c r="D67" s="130"/>
      <c r="E67" s="22" t="str">
        <f>"(bei AFA von "&amp;Stammdaten!P55&amp;" Jahren und "&amp;Stammdaten!P33&amp;" % Zinsansatz)"</f>
        <v>(bei AFA von 0 Jahren und 0 % Zinsansatz)</v>
      </c>
      <c r="F67" s="130"/>
      <c r="G67" s="130"/>
      <c r="H67" s="157"/>
      <c r="I67" s="1368" t="s">
        <v>191</v>
      </c>
      <c r="J67" s="1406"/>
      <c r="K67" s="397">
        <f>K66*J7</f>
        <v>0</v>
      </c>
      <c r="L67" s="851"/>
      <c r="M67" s="869">
        <f>M66*L7</f>
        <v>0</v>
      </c>
      <c r="N67" s="37"/>
      <c r="O67" s="2049">
        <f>O66*N7</f>
        <v>0</v>
      </c>
      <c r="P67" s="2503"/>
      <c r="Q67"/>
      <c r="R67"/>
      <c r="U67" s="108"/>
      <c r="V67" s="108"/>
      <c r="AL67"/>
    </row>
    <row r="68" spans="1:38" ht="3.2" hidden="1" customHeight="1" thickBot="1" x14ac:dyDescent="0.25">
      <c r="A68" s="2503"/>
      <c r="C68" s="1388"/>
      <c r="D68" s="1389"/>
      <c r="E68" s="1754"/>
      <c r="F68" s="1390"/>
      <c r="G68" s="1390"/>
      <c r="H68" s="1390"/>
      <c r="I68" s="1391"/>
      <c r="J68" s="2030"/>
      <c r="K68" s="2028"/>
      <c r="L68" s="2026"/>
      <c r="M68" s="2029"/>
      <c r="N68" s="2027"/>
      <c r="O68" s="2050"/>
      <c r="P68" s="2503"/>
    </row>
    <row r="69" spans="1:38" ht="17.100000000000001" customHeight="1" x14ac:dyDescent="0.2">
      <c r="A69" s="2503"/>
      <c r="E69" s="124"/>
      <c r="P69" s="2503"/>
    </row>
    <row r="70" spans="1:38" x14ac:dyDescent="0.2">
      <c r="A70" s="2503"/>
      <c r="P70" s="2503"/>
    </row>
    <row r="71" spans="1:38" x14ac:dyDescent="0.2">
      <c r="A71" s="2503"/>
      <c r="P71" s="2503"/>
    </row>
    <row r="72" spans="1:38" x14ac:dyDescent="0.2">
      <c r="A72" s="2503"/>
      <c r="P72" s="2503"/>
    </row>
    <row r="73" spans="1:38" x14ac:dyDescent="0.2">
      <c r="A73" s="2503"/>
      <c r="P73" s="2503"/>
    </row>
    <row r="74" spans="1:38" x14ac:dyDescent="0.2">
      <c r="A74" s="2503"/>
      <c r="P74" s="2503"/>
    </row>
    <row r="75" spans="1:38" x14ac:dyDescent="0.2">
      <c r="A75" s="2503"/>
      <c r="C75" s="139"/>
      <c r="D75" s="121" t="s">
        <v>64</v>
      </c>
      <c r="E75" s="121"/>
      <c r="F75" s="121"/>
      <c r="G75" s="121"/>
      <c r="H75" s="121"/>
      <c r="I75" s="2204" t="s">
        <v>1108</v>
      </c>
      <c r="J75" s="2200">
        <f>J30</f>
        <v>12.5</v>
      </c>
      <c r="K75" s="336"/>
      <c r="L75" s="2200">
        <f>L30</f>
        <v>13</v>
      </c>
      <c r="M75" s="336"/>
      <c r="N75" s="2200">
        <f>N30</f>
        <v>13.5</v>
      </c>
      <c r="O75" s="2196"/>
      <c r="P75" s="2503"/>
    </row>
    <row r="76" spans="1:38" x14ac:dyDescent="0.2">
      <c r="A76" s="2503"/>
      <c r="C76" s="131"/>
      <c r="J76" s="2201">
        <f>J31</f>
        <v>5</v>
      </c>
      <c r="K76" s="300"/>
      <c r="L76" s="2201">
        <f>L31</f>
        <v>7</v>
      </c>
      <c r="M76" s="300"/>
      <c r="N76" s="2201">
        <f>N31</f>
        <v>9</v>
      </c>
      <c r="O76" s="300"/>
      <c r="P76" s="2503"/>
    </row>
    <row r="77" spans="1:38" x14ac:dyDescent="0.2">
      <c r="A77" s="2503"/>
      <c r="C77" s="131"/>
      <c r="J77" s="2201">
        <f>J32</f>
        <v>0.2</v>
      </c>
      <c r="K77" s="300"/>
      <c r="L77" s="2201">
        <f>L32</f>
        <v>0.3</v>
      </c>
      <c r="M77" s="300"/>
      <c r="N77" s="2201">
        <f>N32</f>
        <v>0.4</v>
      </c>
      <c r="O77" s="300"/>
      <c r="P77" s="2503"/>
    </row>
    <row r="78" spans="1:38" x14ac:dyDescent="0.2">
      <c r="A78" s="2503"/>
      <c r="C78" s="131"/>
      <c r="J78" s="2201">
        <f>J34</f>
        <v>0.05</v>
      </c>
      <c r="K78" s="300"/>
      <c r="L78" s="2201">
        <f>L34</f>
        <v>0.05</v>
      </c>
      <c r="M78" s="300"/>
      <c r="N78" s="2201">
        <f>N34</f>
        <v>0.05</v>
      </c>
      <c r="O78" s="300"/>
      <c r="P78" s="2503"/>
    </row>
    <row r="79" spans="1:38" x14ac:dyDescent="0.2">
      <c r="A79" s="2503"/>
      <c r="C79" s="2567"/>
      <c r="D79" s="155" t="s">
        <v>464</v>
      </c>
      <c r="E79" s="155"/>
      <c r="F79" s="155"/>
      <c r="G79" s="155"/>
      <c r="H79" s="155"/>
      <c r="I79" s="2568"/>
      <c r="J79" s="2569">
        <f>SUM(J75:J78)</f>
        <v>17.75</v>
      </c>
      <c r="K79" s="2260"/>
      <c r="L79" s="2569">
        <f>SUM(L75:L78)</f>
        <v>20.350000000000001</v>
      </c>
      <c r="M79" s="2260"/>
      <c r="N79" s="2569">
        <f>SUM(N75:N78)</f>
        <v>22.95</v>
      </c>
      <c r="O79" s="2260"/>
      <c r="P79" s="2503"/>
    </row>
    <row r="80" spans="1:38" x14ac:dyDescent="0.2">
      <c r="A80" s="2503"/>
      <c r="C80" s="131"/>
      <c r="D80" s="111" t="s">
        <v>465</v>
      </c>
      <c r="G80" s="2195">
        <v>0.88</v>
      </c>
      <c r="J80" s="131">
        <f>J79*$G$80</f>
        <v>15.62</v>
      </c>
      <c r="K80" s="2197"/>
      <c r="L80" s="131">
        <f>L79*$G$80</f>
        <v>17.908000000000001</v>
      </c>
      <c r="M80" s="2197"/>
      <c r="N80" s="131">
        <f>N79*$G$80</f>
        <v>20.195999999999998</v>
      </c>
      <c r="O80" s="2199"/>
      <c r="P80" s="2503"/>
    </row>
    <row r="81" spans="1:20" x14ac:dyDescent="0.2">
      <c r="A81" s="2503"/>
      <c r="C81" s="131"/>
      <c r="G81" s="28"/>
      <c r="I81" s="152" t="s">
        <v>736</v>
      </c>
      <c r="J81" s="2203">
        <f>J80*100</f>
        <v>1562</v>
      </c>
      <c r="K81" s="2198" t="s">
        <v>857</v>
      </c>
      <c r="L81" s="2203">
        <f>L80*100</f>
        <v>1790.8000000000002</v>
      </c>
      <c r="M81" s="2198" t="s">
        <v>857</v>
      </c>
      <c r="N81" s="2203">
        <f>N80*100</f>
        <v>2019.6</v>
      </c>
      <c r="O81" s="2198" t="s">
        <v>857</v>
      </c>
      <c r="P81" s="2503"/>
    </row>
    <row r="82" spans="1:20" x14ac:dyDescent="0.2">
      <c r="A82" s="2503"/>
      <c r="C82" s="139"/>
      <c r="D82" s="121"/>
      <c r="E82" s="121"/>
      <c r="F82" s="121"/>
      <c r="G82" s="259"/>
      <c r="H82" s="121"/>
      <c r="I82" s="2210"/>
      <c r="J82" s="139"/>
      <c r="K82" s="2196"/>
      <c r="L82" s="139"/>
      <c r="M82" s="2196"/>
      <c r="O82" s="2199"/>
      <c r="P82" s="2503"/>
    </row>
    <row r="83" spans="1:20" x14ac:dyDescent="0.2">
      <c r="A83" s="2503"/>
      <c r="C83" s="131"/>
      <c r="J83" s="131"/>
      <c r="K83" s="132"/>
      <c r="L83" s="131"/>
      <c r="M83" s="132"/>
      <c r="O83" s="132"/>
      <c r="P83" s="2503"/>
    </row>
    <row r="84" spans="1:20" customFormat="1" x14ac:dyDescent="0.2">
      <c r="A84" s="2503"/>
      <c r="C84" s="436"/>
      <c r="D84" s="259" t="s">
        <v>1097</v>
      </c>
      <c r="E84" s="259"/>
      <c r="F84" s="259"/>
      <c r="G84" s="121"/>
      <c r="H84" s="121"/>
      <c r="I84" s="2204" t="s">
        <v>1098</v>
      </c>
      <c r="J84" s="2213">
        <f>J49</f>
        <v>2667.665</v>
      </c>
      <c r="K84" s="336"/>
      <c r="L84" s="2213">
        <f>L49</f>
        <v>2848.0650000000001</v>
      </c>
      <c r="M84" s="336"/>
      <c r="N84" s="2214">
        <f>N49</f>
        <v>3028.4650000000006</v>
      </c>
      <c r="O84" s="336"/>
      <c r="P84" s="2503"/>
    </row>
    <row r="85" spans="1:20" customFormat="1" x14ac:dyDescent="0.2">
      <c r="A85" s="2503"/>
      <c r="C85" s="641"/>
      <c r="D85" s="16"/>
      <c r="E85" s="16"/>
      <c r="F85" s="2591" t="s">
        <v>466</v>
      </c>
      <c r="G85" s="2592">
        <v>6</v>
      </c>
      <c r="H85" s="2590" t="s">
        <v>872</v>
      </c>
      <c r="I85" s="1049" t="s">
        <v>736</v>
      </c>
      <c r="J85" s="2597">
        <f>J84/$G$85*10</f>
        <v>4446.1083333333336</v>
      </c>
      <c r="K85" s="2595" t="s">
        <v>857</v>
      </c>
      <c r="L85" s="2597">
        <f>L84/$G$85*10</f>
        <v>4746.7749999999996</v>
      </c>
      <c r="M85" s="2595" t="s">
        <v>857</v>
      </c>
      <c r="N85" s="2598">
        <f>N84/$G$85*10</f>
        <v>5047.4416666666675</v>
      </c>
      <c r="O85" s="2595" t="s">
        <v>857</v>
      </c>
      <c r="P85" s="2503"/>
      <c r="R85" s="3917" t="s">
        <v>1584</v>
      </c>
      <c r="S85" s="3917"/>
      <c r="T85" s="3917"/>
    </row>
    <row r="86" spans="1:20" customFormat="1" x14ac:dyDescent="0.2">
      <c r="A86" s="2503"/>
      <c r="C86" s="37"/>
      <c r="D86" s="111" t="s">
        <v>121</v>
      </c>
      <c r="E86" s="28"/>
      <c r="F86" s="28"/>
      <c r="G86" s="28"/>
      <c r="H86" s="28"/>
      <c r="I86" s="1748" t="s">
        <v>961</v>
      </c>
      <c r="J86" s="2555">
        <f>AO59</f>
        <v>0</v>
      </c>
      <c r="K86" s="300"/>
      <c r="L86" s="37">
        <f>AQ59</f>
        <v>0</v>
      </c>
      <c r="M86" s="300"/>
      <c r="N86" s="28">
        <f>AS59</f>
        <v>0</v>
      </c>
      <c r="O86" s="300"/>
      <c r="P86" s="2503"/>
    </row>
    <row r="87" spans="1:20" customFormat="1" x14ac:dyDescent="0.2">
      <c r="A87" s="2503"/>
      <c r="C87" s="37"/>
      <c r="D87" s="111"/>
      <c r="E87" s="2583" t="s">
        <v>122</v>
      </c>
      <c r="F87" s="2583"/>
      <c r="G87" s="2583"/>
      <c r="H87" s="2583"/>
      <c r="I87" s="2580" t="s">
        <v>736</v>
      </c>
      <c r="J87" s="2584">
        <f>J85-(J85*J86)/100</f>
        <v>4446.1083333333336</v>
      </c>
      <c r="K87" s="2585" t="s">
        <v>857</v>
      </c>
      <c r="L87" s="2584">
        <f>L85-(L85*L86)/100</f>
        <v>4746.7749999999996</v>
      </c>
      <c r="M87" s="2585" t="s">
        <v>857</v>
      </c>
      <c r="N87" s="2584">
        <f>N85-(N85*N86)/100</f>
        <v>5047.4416666666675</v>
      </c>
      <c r="O87" s="2585" t="s">
        <v>857</v>
      </c>
      <c r="P87" s="2503"/>
    </row>
    <row r="88" spans="1:20" customFormat="1" x14ac:dyDescent="0.2">
      <c r="A88" s="2503"/>
      <c r="C88" s="436"/>
      <c r="D88" s="259" t="s">
        <v>757</v>
      </c>
      <c r="E88" s="259"/>
      <c r="F88" s="259"/>
      <c r="G88" s="259"/>
      <c r="H88" s="259"/>
      <c r="I88" s="2204" t="s">
        <v>736</v>
      </c>
      <c r="J88" s="2213">
        <f>J85+J81</f>
        <v>6008.1083333333336</v>
      </c>
      <c r="K88" s="2196" t="s">
        <v>857</v>
      </c>
      <c r="L88" s="2213">
        <f>L85+L81</f>
        <v>6537.5749999999998</v>
      </c>
      <c r="M88" s="2196" t="s">
        <v>857</v>
      </c>
      <c r="N88" s="2214">
        <f>N85+N81</f>
        <v>7067.0416666666679</v>
      </c>
      <c r="O88" s="2196" t="s">
        <v>857</v>
      </c>
      <c r="P88" s="2503"/>
    </row>
    <row r="89" spans="1:20" customFormat="1" x14ac:dyDescent="0.2">
      <c r="A89" s="2503"/>
      <c r="C89" s="2218"/>
      <c r="D89" s="523"/>
      <c r="E89" s="523"/>
      <c r="F89" s="523"/>
      <c r="G89" s="523"/>
      <c r="H89" s="523"/>
      <c r="I89" s="2564" t="s">
        <v>737</v>
      </c>
      <c r="J89" s="2221">
        <f>J88/365</f>
        <v>16.460570776255707</v>
      </c>
      <c r="K89" s="2216" t="s">
        <v>857</v>
      </c>
      <c r="L89" s="2221">
        <f>L88/365</f>
        <v>17.911164383561644</v>
      </c>
      <c r="M89" s="2216" t="s">
        <v>857</v>
      </c>
      <c r="N89" s="2222">
        <f>N88/365</f>
        <v>19.361757990867584</v>
      </c>
      <c r="O89" s="2216" t="s">
        <v>857</v>
      </c>
      <c r="P89" s="2503"/>
    </row>
    <row r="90" spans="1:20" customFormat="1" ht="15" x14ac:dyDescent="0.2">
      <c r="A90" s="2503"/>
      <c r="C90" s="641"/>
      <c r="D90" s="16" t="s">
        <v>292</v>
      </c>
      <c r="E90" s="16"/>
      <c r="F90" s="16"/>
      <c r="G90" s="16"/>
      <c r="H90" s="16"/>
      <c r="I90" s="2588"/>
      <c r="J90" s="2953">
        <v>3.7</v>
      </c>
      <c r="K90" s="2198"/>
      <c r="L90" s="2953">
        <v>3.7</v>
      </c>
      <c r="M90" s="2198"/>
      <c r="N90" s="2953">
        <v>3.7</v>
      </c>
      <c r="O90" s="2198"/>
      <c r="P90" s="2503"/>
      <c r="R90" t="s">
        <v>1535</v>
      </c>
    </row>
    <row r="91" spans="1:20" customFormat="1" ht="33" customHeight="1" x14ac:dyDescent="0.2">
      <c r="A91" s="2503"/>
      <c r="C91" s="385"/>
      <c r="D91" s="611" t="s">
        <v>467</v>
      </c>
      <c r="E91" s="611"/>
      <c r="F91" s="611"/>
      <c r="G91" s="2225">
        <f>F38</f>
        <v>4</v>
      </c>
      <c r="H91" s="611" t="s">
        <v>468</v>
      </c>
      <c r="I91" s="1601" t="s">
        <v>469</v>
      </c>
      <c r="J91" s="2209">
        <f>J88*$G$91/1000+J90</f>
        <v>27.732433333333333</v>
      </c>
      <c r="K91" s="612"/>
      <c r="L91" s="2209">
        <f>L88*$G$91/1000+L90</f>
        <v>29.850299999999997</v>
      </c>
      <c r="M91" s="612"/>
      <c r="N91" s="1324">
        <f>N88*$G$91/1000+N90</f>
        <v>31.968166666666672</v>
      </c>
      <c r="O91" s="612"/>
      <c r="P91" s="2503"/>
    </row>
    <row r="92" spans="1:20" customFormat="1" x14ac:dyDescent="0.2">
      <c r="A92" s="2503"/>
      <c r="C92" s="385" t="s">
        <v>112</v>
      </c>
      <c r="D92" s="611"/>
      <c r="E92" s="611"/>
      <c r="F92" s="611"/>
      <c r="G92" s="611"/>
      <c r="H92" s="611"/>
      <c r="I92" s="2556" t="s">
        <v>469</v>
      </c>
      <c r="J92" s="2209">
        <f>J23*(100-J86)/100</f>
        <v>21.5</v>
      </c>
      <c r="K92" s="612"/>
      <c r="L92" s="2209">
        <f>L23*(100-L86)/100</f>
        <v>22</v>
      </c>
      <c r="M92" s="612"/>
      <c r="N92" s="1324">
        <f>N23*(100-N86)/100</f>
        <v>22.5</v>
      </c>
      <c r="O92" s="612"/>
      <c r="P92" s="2503"/>
    </row>
    <row r="93" spans="1:20" customFormat="1" x14ac:dyDescent="0.2">
      <c r="A93" s="2503"/>
      <c r="C93" s="2561" t="s">
        <v>123</v>
      </c>
      <c r="D93" s="611"/>
      <c r="E93" s="611"/>
      <c r="F93" s="611"/>
      <c r="G93" s="611"/>
      <c r="H93" s="611"/>
      <c r="I93" s="2556" t="s">
        <v>736</v>
      </c>
      <c r="J93" s="2209">
        <f>J85*(100-AI59)/100</f>
        <v>4446.1083333333336</v>
      </c>
      <c r="K93" s="612"/>
      <c r="L93" s="2209">
        <f>L85*(100-AK59)/100</f>
        <v>4746.7749999999996</v>
      </c>
      <c r="M93" s="612"/>
      <c r="N93" s="1324">
        <f>N85*(100-AM59)/100</f>
        <v>5047.4416666666675</v>
      </c>
      <c r="O93" s="612"/>
      <c r="P93" s="2503"/>
    </row>
    <row r="94" spans="1:20" customFormat="1" x14ac:dyDescent="0.2">
      <c r="A94" s="2503"/>
      <c r="C94" s="2599"/>
      <c r="D94" s="259" t="s">
        <v>317</v>
      </c>
      <c r="E94" s="2606" t="s">
        <v>300</v>
      </c>
      <c r="F94" s="2606"/>
      <c r="G94" s="2607">
        <v>35</v>
      </c>
      <c r="H94" s="2606" t="s">
        <v>301</v>
      </c>
      <c r="I94" s="2602" t="s">
        <v>299</v>
      </c>
      <c r="J94" s="2608">
        <f>J93/$G$94*100</f>
        <v>12703.166666666668</v>
      </c>
      <c r="K94" s="2609"/>
      <c r="L94" s="2608">
        <f>L93/$G$94*100</f>
        <v>13562.214285714284</v>
      </c>
      <c r="M94" s="2609"/>
      <c r="N94" s="2610">
        <f>N93/$G$94*100</f>
        <v>14421.261904761908</v>
      </c>
      <c r="O94" s="2609"/>
      <c r="P94" s="2503"/>
    </row>
    <row r="95" spans="1:20" customFormat="1" x14ac:dyDescent="0.2">
      <c r="A95" s="2503"/>
      <c r="C95" s="2611"/>
      <c r="D95" s="523" t="s">
        <v>317</v>
      </c>
      <c r="E95" s="2614" t="s">
        <v>300</v>
      </c>
      <c r="F95" s="2614"/>
      <c r="G95" s="2615">
        <v>500</v>
      </c>
      <c r="H95" s="2614" t="s">
        <v>302</v>
      </c>
      <c r="I95" s="2616" t="s">
        <v>1109</v>
      </c>
      <c r="J95" s="2620">
        <f>J94/$G$95</f>
        <v>25.406333333333336</v>
      </c>
      <c r="K95" s="2621"/>
      <c r="L95" s="2620">
        <f>L94/$G$95</f>
        <v>27.12442857142857</v>
      </c>
      <c r="M95" s="2621"/>
      <c r="N95" s="2620">
        <f>N94/$G$95</f>
        <v>28.842523809523815</v>
      </c>
      <c r="O95" s="2621"/>
      <c r="P95" s="2503"/>
    </row>
    <row r="96" spans="1:20" customFormat="1" x14ac:dyDescent="0.2">
      <c r="A96" s="2503"/>
      <c r="C96" s="2562"/>
      <c r="D96" s="28"/>
      <c r="E96" s="28"/>
      <c r="F96" s="28"/>
      <c r="G96" s="28"/>
      <c r="H96" s="28"/>
      <c r="I96" s="1748"/>
      <c r="J96" s="2586"/>
      <c r="K96" s="28"/>
      <c r="L96" s="2586"/>
      <c r="M96" s="28"/>
      <c r="N96" s="2586"/>
      <c r="O96" s="28"/>
      <c r="P96" s="2503"/>
    </row>
    <row r="97" spans="1:16" customFormat="1" x14ac:dyDescent="0.2">
      <c r="A97" s="2503"/>
      <c r="C97" s="2562" t="s">
        <v>113</v>
      </c>
      <c r="P97" s="2503"/>
    </row>
    <row r="98" spans="1:16" customFormat="1" x14ac:dyDescent="0.2">
      <c r="A98" s="2503"/>
      <c r="C98" s="2562" t="s">
        <v>120</v>
      </c>
      <c r="P98" s="2503"/>
    </row>
    <row r="99" spans="1:16" customFormat="1" x14ac:dyDescent="0.2">
      <c r="A99" s="2503"/>
      <c r="P99" s="2503"/>
    </row>
    <row r="100" spans="1:16" customFormat="1" x14ac:dyDescent="0.2">
      <c r="A100" s="2503"/>
      <c r="B100" s="2503"/>
      <c r="C100" s="2503"/>
      <c r="D100" s="2503"/>
      <c r="E100" s="2503"/>
      <c r="F100" s="2503"/>
      <c r="G100" s="2503"/>
      <c r="H100" s="2503"/>
      <c r="I100" s="2503"/>
      <c r="J100" s="2503"/>
      <c r="K100" s="2503"/>
      <c r="L100" s="2503"/>
      <c r="M100" s="2503"/>
      <c r="N100" s="2503"/>
      <c r="O100" s="2503"/>
      <c r="P100" s="2503"/>
    </row>
    <row r="101" spans="1:16" customFormat="1" x14ac:dyDescent="0.2"/>
    <row r="102" spans="1:16" customFormat="1" x14ac:dyDescent="0.2"/>
    <row r="103" spans="1:16" customFormat="1" x14ac:dyDescent="0.2"/>
    <row r="104" spans="1:16" customFormat="1" x14ac:dyDescent="0.2"/>
    <row r="105" spans="1:16" customFormat="1" x14ac:dyDescent="0.2"/>
    <row r="106" spans="1:16" customFormat="1" x14ac:dyDescent="0.2"/>
    <row r="107" spans="1:16" customFormat="1" x14ac:dyDescent="0.2"/>
    <row r="108" spans="1:16" customFormat="1" x14ac:dyDescent="0.2"/>
    <row r="109" spans="1:16" customFormat="1" x14ac:dyDescent="0.2"/>
    <row r="110" spans="1:16" customFormat="1" x14ac:dyDescent="0.2"/>
    <row r="111" spans="1:16" customFormat="1" x14ac:dyDescent="0.2"/>
    <row r="112" spans="1:16" customFormat="1" x14ac:dyDescent="0.2"/>
    <row r="113" customFormat="1" x14ac:dyDescent="0.2"/>
  </sheetData>
  <sheetProtection sheet="1" objects="1" scenarios="1"/>
  <phoneticPr fontId="0" type="noConversion"/>
  <hyperlinks>
    <hyperlink ref="D113" location="D72" display="zurück zu Zeilen GVE"/>
  </hyperlinks>
  <printOptions horizontalCentered="1"/>
  <pageMargins left="0.39370078740157483" right="0.39370078740157483" top="0.59055118110236227" bottom="0.59055118110236227" header="0.19685039370078741" footer="0.19685039370078741"/>
  <pageSetup paperSize="9" scale="71" firstPageNumber="30" orientation="portrait" useFirstPageNumber="1" r:id="rId1"/>
  <headerFooter alignWithMargins="0">
    <oddFooter>&amp;LLEL Schwäb. Gmünd;
&amp;D&amp;C&amp;"Arial,Fett"&amp;12&amp;P&amp;RKalkulationsdaten Milchviehhaltung;
&amp;F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8" r:id="rId4" name="Drop Down 6">
              <controlPr defaultSize="0" print="0" autoLine="0" autoPict="0">
                <anchor moveWithCells="1">
                  <from>
                    <xdr:col>3</xdr:col>
                    <xdr:colOff>9525</xdr:colOff>
                    <xdr:row>55</xdr:row>
                    <xdr:rowOff>0</xdr:rowOff>
                  </from>
                  <to>
                    <xdr:col>5</xdr:col>
                    <xdr:colOff>209550</xdr:colOff>
                    <xdr:row>55</xdr:row>
                    <xdr:rowOff>190500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2" tint="-0.499984740745262"/>
    <pageSetUpPr fitToPage="1"/>
  </sheetPr>
  <dimension ref="A1:AC250"/>
  <sheetViews>
    <sheetView showGridLines="0" showZeros="0" zoomScale="90" workbookViewId="0">
      <pane ySplit="9" topLeftCell="A10" activePane="bottomLeft" state="frozen"/>
      <selection activeCell="H69" sqref="H69"/>
      <selection pane="bottomLeft" activeCell="K28" sqref="K28"/>
    </sheetView>
  </sheetViews>
  <sheetFormatPr baseColWidth="10" defaultColWidth="11.5703125" defaultRowHeight="12.75" x14ac:dyDescent="0.2"/>
  <cols>
    <col min="1" max="1" width="1.28515625" style="4" customWidth="1"/>
    <col min="2" max="2" width="5" style="4" customWidth="1"/>
    <col min="3" max="3" width="3.85546875" style="3" customWidth="1"/>
    <col min="4" max="4" width="1.5703125" style="3" customWidth="1"/>
    <col min="5" max="5" width="5.85546875" style="3" customWidth="1"/>
    <col min="6" max="6" width="20.7109375" style="3" customWidth="1"/>
    <col min="7" max="7" width="15.7109375" style="3" customWidth="1"/>
    <col min="8" max="8" width="17.42578125" style="3" customWidth="1"/>
    <col min="9" max="9" width="12.28515625" style="84" customWidth="1"/>
    <col min="10" max="10" width="0.85546875" style="84" customWidth="1"/>
    <col min="11" max="11" width="10.140625" style="1192" customWidth="1"/>
    <col min="12" max="13" width="10" style="1192" customWidth="1"/>
    <col min="14" max="14" width="9.7109375" style="1192" customWidth="1"/>
    <col min="15" max="15" width="9.85546875" style="1192" customWidth="1"/>
    <col min="16" max="16" width="10.140625" style="1192" customWidth="1"/>
    <col min="17" max="17" width="2.5703125" style="4" customWidth="1"/>
    <col min="18" max="24" width="11.5703125" style="4" customWidth="1"/>
    <col min="25" max="25" width="14.28515625" style="4" customWidth="1"/>
    <col min="26" max="26" width="11.5703125" style="4" customWidth="1"/>
    <col min="27" max="27" width="9.28515625" style="4" customWidth="1"/>
    <col min="28" max="16384" width="11.5703125" style="4"/>
  </cols>
  <sheetData>
    <row r="1" spans="1:28" ht="22.15" customHeight="1" x14ac:dyDescent="0.2">
      <c r="A1" s="2503"/>
      <c r="B1" s="2503"/>
      <c r="C1" s="2503"/>
      <c r="D1" s="2503"/>
      <c r="E1" s="2503"/>
      <c r="F1" s="2503"/>
      <c r="G1" s="2503"/>
      <c r="H1" s="2503"/>
      <c r="I1" s="2503"/>
      <c r="J1" s="2503"/>
      <c r="K1" s="2503"/>
      <c r="L1" s="2503"/>
      <c r="M1" s="2503"/>
      <c r="N1" s="2503"/>
      <c r="O1" s="2503"/>
      <c r="P1" s="2503"/>
      <c r="Q1" s="2503"/>
    </row>
    <row r="2" spans="1:28" ht="19.5" customHeight="1" x14ac:dyDescent="0.2">
      <c r="A2" s="2503"/>
      <c r="C2" s="85" t="s">
        <v>57</v>
      </c>
      <c r="D2" s="4"/>
      <c r="E2" s="4"/>
      <c r="F2" s="4"/>
      <c r="G2"/>
      <c r="I2" s="292" t="s">
        <v>1130</v>
      </c>
      <c r="J2" s="4"/>
      <c r="K2" s="589"/>
      <c r="L2" s="589"/>
      <c r="P2" s="104" t="str">
        <f>'BrV(a)'!O2</f>
        <v>Milchkuh; Braunvieh</v>
      </c>
      <c r="Q2" s="2503"/>
      <c r="U2" s="87"/>
      <c r="V2" s="87"/>
      <c r="W2" s="88"/>
      <c r="X2" s="3"/>
      <c r="Y2" s="3"/>
      <c r="Z2" s="89"/>
      <c r="AA2" s="89"/>
      <c r="AB2" s="89"/>
    </row>
    <row r="3" spans="1:28" ht="19.5" customHeight="1" x14ac:dyDescent="0.2">
      <c r="A3" s="2503"/>
      <c r="C3" s="85"/>
      <c r="D3" s="4"/>
      <c r="E3" s="4"/>
      <c r="F3" s="4"/>
      <c r="G3"/>
      <c r="H3"/>
      <c r="I3" s="292"/>
      <c r="J3" s="4"/>
      <c r="K3" s="589"/>
      <c r="L3" s="589"/>
      <c r="M3" s="1193"/>
      <c r="N3" s="1193"/>
      <c r="O3" s="1193"/>
      <c r="P3" s="1193"/>
      <c r="Q3" s="2503"/>
      <c r="U3" s="87"/>
      <c r="V3" s="87"/>
      <c r="W3" s="88"/>
      <c r="X3" s="3"/>
      <c r="Y3" s="3"/>
      <c r="Z3" s="89"/>
      <c r="AA3" s="89"/>
      <c r="AB3" s="89"/>
    </row>
    <row r="4" spans="1:28" ht="23.25" customHeight="1" x14ac:dyDescent="0.3">
      <c r="A4" s="2503"/>
      <c r="C4" s="296" t="s">
        <v>879</v>
      </c>
      <c r="D4" s="297"/>
      <c r="E4" s="296"/>
      <c r="F4" s="296">
        <f>'BrV(a)'!E4</f>
        <v>44531</v>
      </c>
      <c r="G4" s="297"/>
      <c r="I4" s="298" t="s">
        <v>1009</v>
      </c>
      <c r="J4" s="297"/>
      <c r="K4" s="589"/>
      <c r="L4" s="589"/>
      <c r="M4" s="589"/>
      <c r="P4" s="1755">
        <f>'BrV(a)'!O4</f>
        <v>2022</v>
      </c>
      <c r="Q4" s="2503"/>
      <c r="U4" s="87"/>
      <c r="V4" s="87"/>
      <c r="W4" s="88"/>
      <c r="X4" s="3"/>
      <c r="Y4" s="3"/>
      <c r="Z4" s="89"/>
      <c r="AA4" s="89"/>
      <c r="AB4" s="89"/>
    </row>
    <row r="5" spans="1:28" ht="10.5" customHeight="1" thickBot="1" x14ac:dyDescent="0.25">
      <c r="A5" s="2503"/>
      <c r="C5" s="4"/>
      <c r="D5" s="4"/>
      <c r="E5" s="17"/>
      <c r="F5" s="17"/>
      <c r="G5" s="90"/>
      <c r="H5" s="90"/>
      <c r="I5" s="4"/>
      <c r="J5" s="4"/>
      <c r="K5" s="1756"/>
      <c r="L5" s="1756"/>
      <c r="M5" s="1193"/>
      <c r="N5" s="1193"/>
      <c r="O5" s="1193"/>
      <c r="P5" s="1193"/>
      <c r="Q5" s="2503"/>
      <c r="U5" s="87"/>
      <c r="V5" s="87"/>
      <c r="W5" s="88"/>
      <c r="X5" s="3"/>
      <c r="Y5" s="3"/>
      <c r="Z5" s="89"/>
      <c r="AA5" s="89"/>
      <c r="AB5" s="89"/>
    </row>
    <row r="6" spans="1:28" s="1" customFormat="1" ht="24.6" customHeight="1" x14ac:dyDescent="0.2">
      <c r="A6" s="2503"/>
      <c r="C6" s="1728">
        <v>1</v>
      </c>
      <c r="D6" s="1431" t="s">
        <v>1073</v>
      </c>
      <c r="E6" s="1431"/>
      <c r="F6" s="1431"/>
      <c r="G6" s="1431"/>
      <c r="H6" s="1431"/>
      <c r="I6" s="1432"/>
      <c r="J6" s="1433"/>
      <c r="K6" s="3954" t="s">
        <v>1074</v>
      </c>
      <c r="L6" s="3955"/>
      <c r="M6" s="3958" t="s">
        <v>1075</v>
      </c>
      <c r="N6" s="3959"/>
      <c r="O6" s="3960" t="s">
        <v>1076</v>
      </c>
      <c r="P6" s="3955"/>
      <c r="Q6" s="2503"/>
    </row>
    <row r="7" spans="1:28" s="1" customFormat="1" ht="25.15" customHeight="1" thickBot="1" x14ac:dyDescent="0.25">
      <c r="A7" s="2503"/>
      <c r="C7" s="1845">
        <v>2</v>
      </c>
      <c r="D7" s="1846" t="s">
        <v>1077</v>
      </c>
      <c r="E7" s="1846"/>
      <c r="F7" s="1846"/>
      <c r="G7" s="1846"/>
      <c r="H7" s="1846"/>
      <c r="I7" s="1847" t="s">
        <v>1132</v>
      </c>
      <c r="J7" s="1848"/>
      <c r="K7" s="3961">
        <f>'BrV(a)'!J7</f>
        <v>6500</v>
      </c>
      <c r="L7" s="3962"/>
      <c r="M7" s="3963">
        <f>'BrV(a)'!L7</f>
        <v>7500</v>
      </c>
      <c r="N7" s="3964"/>
      <c r="O7" s="3965">
        <f>'BrV(a)'!N7</f>
        <v>8500</v>
      </c>
      <c r="P7" s="3962"/>
      <c r="Q7" s="2503"/>
      <c r="T7" s="435"/>
      <c r="U7" s="435"/>
      <c r="V7" s="435"/>
      <c r="W7" s="435"/>
      <c r="X7" s="435"/>
      <c r="Y7" s="435"/>
      <c r="Z7" s="435"/>
      <c r="AA7" s="435"/>
    </row>
    <row r="8" spans="1:28" s="1" customFormat="1" ht="24" customHeight="1" x14ac:dyDescent="0.2">
      <c r="A8" s="2503"/>
      <c r="C8" s="1843">
        <v>3</v>
      </c>
      <c r="D8" s="1844" t="str">
        <f>IF(Stammdaten!S7=1,"Preis Hauptprodukt (ohne Mwst.)","Preis Hauptprodukt  (incl. Mwst.)")</f>
        <v>Preis Hauptprodukt  (incl. Mwst.)</v>
      </c>
      <c r="E8" s="1844"/>
      <c r="F8" s="1844"/>
      <c r="G8" s="1844"/>
      <c r="H8" s="1844"/>
      <c r="I8" s="1745" t="s">
        <v>58</v>
      </c>
      <c r="J8" s="1444"/>
      <c r="K8" s="3956">
        <f>'BrV(a)'!K13</f>
        <v>0.46208999999999995</v>
      </c>
      <c r="L8" s="3957"/>
      <c r="M8" s="3976">
        <f>'BrV(a)'!M13</f>
        <v>0.46208999999999995</v>
      </c>
      <c r="N8" s="3977"/>
      <c r="O8" s="3978">
        <f>'BrV(a)'!O13</f>
        <v>0.46208999999999995</v>
      </c>
      <c r="P8" s="3957"/>
      <c r="Q8" s="2503"/>
      <c r="T8" s="435"/>
      <c r="U8" s="435"/>
      <c r="V8" s="435"/>
      <c r="W8" s="435"/>
      <c r="X8" s="435"/>
      <c r="Y8" s="435"/>
      <c r="Z8" s="435"/>
      <c r="AA8" s="435"/>
    </row>
    <row r="9" spans="1:28" s="1" customFormat="1" ht="20.45" customHeight="1" x14ac:dyDescent="0.2">
      <c r="A9" s="2503"/>
      <c r="C9" s="1729"/>
      <c r="D9" s="13"/>
      <c r="E9" s="13"/>
      <c r="F9" s="13"/>
      <c r="G9" s="13"/>
      <c r="H9" s="13"/>
      <c r="I9" s="720"/>
      <c r="J9" s="1436"/>
      <c r="K9" s="1757" t="s">
        <v>781</v>
      </c>
      <c r="L9" s="1849" t="s">
        <v>782</v>
      </c>
      <c r="M9" s="1853" t="s">
        <v>781</v>
      </c>
      <c r="N9" s="1854" t="s">
        <v>782</v>
      </c>
      <c r="O9" s="1841" t="s">
        <v>781</v>
      </c>
      <c r="P9" s="1842" t="s">
        <v>782</v>
      </c>
      <c r="Q9" s="2503"/>
      <c r="T9" s="435"/>
      <c r="U9" s="435"/>
      <c r="V9" s="435"/>
      <c r="W9" s="435"/>
      <c r="X9" s="435"/>
      <c r="Y9" s="435"/>
      <c r="Z9" s="435"/>
      <c r="AA9" s="435"/>
    </row>
    <row r="10" spans="1:28" s="30" customFormat="1" ht="20.45" customHeight="1" x14ac:dyDescent="0.2">
      <c r="A10" s="2503"/>
      <c r="B10" s="3966" t="s">
        <v>473</v>
      </c>
      <c r="C10" s="1729">
        <v>4</v>
      </c>
      <c r="D10" s="69" t="s">
        <v>59</v>
      </c>
      <c r="E10" s="2" t="s">
        <v>1078</v>
      </c>
      <c r="F10" s="2"/>
      <c r="G10" s="2" t="s">
        <v>60</v>
      </c>
      <c r="H10" s="2"/>
      <c r="I10" s="720"/>
      <c r="J10" s="1436"/>
      <c r="K10" s="1791">
        <f>K7*K8</f>
        <v>3003.5849999999996</v>
      </c>
      <c r="L10" s="1819">
        <f>K10/K7</f>
        <v>0.46208999999999995</v>
      </c>
      <c r="M10" s="1796">
        <f>M7*M8</f>
        <v>3465.6749999999997</v>
      </c>
      <c r="N10" s="1825">
        <f>M10/M7</f>
        <v>0.46208999999999995</v>
      </c>
      <c r="O10" s="1807">
        <f>O7*O8</f>
        <v>3927.7649999999994</v>
      </c>
      <c r="P10" s="1819">
        <f>O10/O7</f>
        <v>0.46208999999999995</v>
      </c>
      <c r="Q10" s="2503"/>
      <c r="T10" s="435"/>
      <c r="U10" s="435"/>
      <c r="V10" s="435"/>
      <c r="W10" s="435"/>
      <c r="X10" s="435"/>
      <c r="Y10" s="435"/>
      <c r="Z10" s="435"/>
      <c r="AA10" s="435"/>
    </row>
    <row r="11" spans="1:28" s="1" customFormat="1" ht="20.45" customHeight="1" x14ac:dyDescent="0.2">
      <c r="A11" s="2503"/>
      <c r="B11" s="3967"/>
      <c r="C11" s="1729">
        <f>C10+1</f>
        <v>5</v>
      </c>
      <c r="D11" s="69"/>
      <c r="E11" s="2" t="s">
        <v>62</v>
      </c>
      <c r="F11" s="2"/>
      <c r="G11" s="2" t="s">
        <v>63</v>
      </c>
      <c r="H11" s="2"/>
      <c r="I11" s="720"/>
      <c r="J11" s="1436"/>
      <c r="K11" s="1791">
        <f>'BrV(a)'!K15</f>
        <v>166.98750000000001</v>
      </c>
      <c r="L11" s="1816"/>
      <c r="M11" s="1796">
        <f>'BrV(a)'!M15</f>
        <v>166.98750000000001</v>
      </c>
      <c r="N11" s="1855"/>
      <c r="O11" s="1807">
        <f>'BrV(a)'!O15</f>
        <v>166.98750000000001</v>
      </c>
      <c r="P11" s="1816"/>
      <c r="Q11" s="2503"/>
      <c r="T11" s="435"/>
      <c r="U11" s="435"/>
      <c r="V11" s="435"/>
      <c r="W11" s="435"/>
      <c r="X11" s="435"/>
      <c r="Y11" s="435"/>
      <c r="Z11" s="435"/>
      <c r="AA11" s="435"/>
    </row>
    <row r="12" spans="1:28" s="1" customFormat="1" ht="20.45" customHeight="1" x14ac:dyDescent="0.2">
      <c r="A12" s="2503"/>
      <c r="B12" s="3967"/>
      <c r="C12" s="1729">
        <f>C11+1</f>
        <v>6</v>
      </c>
      <c r="D12" s="69"/>
      <c r="E12" s="2"/>
      <c r="F12" s="2"/>
      <c r="G12" s="2" t="s">
        <v>1150</v>
      </c>
      <c r="H12" s="2"/>
      <c r="I12" s="720"/>
      <c r="J12" s="1436"/>
      <c r="K12" s="1791">
        <f>'BrV(a)'!K18</f>
        <v>488.58899999999994</v>
      </c>
      <c r="L12" s="1815"/>
      <c r="M12" s="1796">
        <f>'BrV(a)'!M18</f>
        <v>488.58899999999994</v>
      </c>
      <c r="N12" s="1824"/>
      <c r="O12" s="1807">
        <f>'BrV(a)'!O18</f>
        <v>488.58899999999994</v>
      </c>
      <c r="P12" s="1815"/>
      <c r="Q12" s="2503"/>
      <c r="T12" s="435"/>
      <c r="U12" s="435"/>
      <c r="V12" s="435"/>
      <c r="W12" s="435"/>
      <c r="X12" s="435"/>
      <c r="Y12" s="435"/>
      <c r="Z12" s="435"/>
      <c r="AA12" s="435"/>
    </row>
    <row r="13" spans="1:28" s="1" customFormat="1" ht="20.45" customHeight="1" x14ac:dyDescent="0.2">
      <c r="A13" s="2503"/>
      <c r="B13" s="3967"/>
      <c r="C13" s="1729">
        <f>C12+1</f>
        <v>7</v>
      </c>
      <c r="D13" s="10"/>
      <c r="E13" s="3"/>
      <c r="F13" s="3"/>
      <c r="G13" s="10" t="s">
        <v>1084</v>
      </c>
      <c r="H13" s="10"/>
      <c r="I13" s="1740"/>
      <c r="J13" s="1437"/>
      <c r="K13" s="1791">
        <f>'BrV(a)'!K22</f>
        <v>313.45889166666666</v>
      </c>
      <c r="L13" s="1815"/>
      <c r="M13" s="1796">
        <f>'BrV(a)'!M22</f>
        <v>320.74863333333332</v>
      </c>
      <c r="N13" s="1824"/>
      <c r="O13" s="1807">
        <f>'BrV(a)'!O22</f>
        <v>328.03837499999997</v>
      </c>
      <c r="P13" s="1815"/>
      <c r="Q13" s="2503"/>
      <c r="T13" s="435"/>
      <c r="U13" s="435"/>
      <c r="V13" s="435"/>
      <c r="W13" s="435"/>
      <c r="X13" s="435"/>
      <c r="Y13" s="435"/>
      <c r="Z13" s="435"/>
      <c r="AA13" s="435"/>
    </row>
    <row r="14" spans="1:28" s="1" customFormat="1" ht="20.45" customHeight="1" x14ac:dyDescent="0.2">
      <c r="A14" s="2503"/>
      <c r="B14" s="3968"/>
      <c r="C14" s="1729">
        <f>C13+1</f>
        <v>8</v>
      </c>
      <c r="D14" s="13" t="s">
        <v>103</v>
      </c>
      <c r="E14" s="3"/>
      <c r="F14" s="3"/>
      <c r="G14" s="10"/>
      <c r="H14" s="10"/>
      <c r="I14" s="1740"/>
      <c r="J14" s="1437"/>
      <c r="K14" s="1806">
        <f>SUM(K10:K13)</f>
        <v>3972.6203916666664</v>
      </c>
      <c r="L14" s="1819">
        <f>K14/K7</f>
        <v>0.61117236794871788</v>
      </c>
      <c r="M14" s="1805">
        <f>SUM(M10:M13)</f>
        <v>4442.0001333333339</v>
      </c>
      <c r="N14" s="1825">
        <f>M14/M7</f>
        <v>0.59226668444444452</v>
      </c>
      <c r="O14" s="1808">
        <f>SUM(O10:O13)</f>
        <v>4911.3798749999996</v>
      </c>
      <c r="P14" s="1819">
        <f>O14/O7</f>
        <v>0.5778093970588235</v>
      </c>
      <c r="Q14" s="2503"/>
      <c r="T14" s="435"/>
      <c r="U14" s="435"/>
      <c r="V14" s="435"/>
      <c r="W14" s="435"/>
      <c r="X14" s="435"/>
      <c r="Y14" s="435"/>
      <c r="Z14" s="435"/>
      <c r="AA14" s="435"/>
    </row>
    <row r="15" spans="1:28" ht="6" customHeight="1" x14ac:dyDescent="0.2">
      <c r="A15" s="2503"/>
      <c r="B15" s="1798"/>
      <c r="C15" s="1729"/>
      <c r="D15" s="13"/>
      <c r="E15" s="13"/>
      <c r="F15" s="13"/>
      <c r="G15" s="13"/>
      <c r="H15" s="13"/>
      <c r="I15" s="720"/>
      <c r="J15" s="1436"/>
      <c r="K15" s="1762"/>
      <c r="L15" s="1822"/>
      <c r="M15" s="1857"/>
      <c r="N15" s="1829"/>
      <c r="O15" s="1763"/>
      <c r="P15" s="1820"/>
      <c r="Q15" s="2503"/>
      <c r="T15" s="435"/>
      <c r="U15" s="435"/>
      <c r="V15" s="435"/>
      <c r="W15" s="435"/>
      <c r="X15" s="435"/>
      <c r="Y15" s="435"/>
      <c r="Z15" s="435"/>
      <c r="AA15" s="435"/>
    </row>
    <row r="16" spans="1:28" ht="8.4499999999999993" customHeight="1" x14ac:dyDescent="0.2">
      <c r="A16" s="2503"/>
      <c r="B16" s="1798"/>
      <c r="C16" s="1730"/>
      <c r="D16" s="18"/>
      <c r="E16" s="259"/>
      <c r="F16" s="9"/>
      <c r="G16" s="9"/>
      <c r="H16" s="9"/>
      <c r="I16" s="1558"/>
      <c r="J16" s="1434"/>
      <c r="K16" s="1802"/>
      <c r="L16" s="1850"/>
      <c r="M16" s="1858"/>
      <c r="N16" s="1859"/>
      <c r="O16" s="1622"/>
      <c r="P16" s="1821"/>
      <c r="Q16" s="2503"/>
      <c r="T16" s="435"/>
      <c r="U16" s="435"/>
      <c r="V16" s="435"/>
      <c r="W16" s="435"/>
      <c r="X16" s="435"/>
      <c r="Y16" s="435"/>
      <c r="Z16" s="435"/>
      <c r="AA16" s="435"/>
    </row>
    <row r="17" spans="1:29" ht="20.45" customHeight="1" x14ac:dyDescent="0.2">
      <c r="A17" s="2503"/>
      <c r="B17" s="3973" t="s">
        <v>474</v>
      </c>
      <c r="C17" s="1731">
        <v>9</v>
      </c>
      <c r="E17" s="435" t="s">
        <v>1086</v>
      </c>
      <c r="F17" s="11"/>
      <c r="G17" s="11"/>
      <c r="H17" s="11"/>
      <c r="I17" s="720"/>
      <c r="J17" s="1436"/>
      <c r="K17" s="1791">
        <f>'BrV(a)'!K26</f>
        <v>657</v>
      </c>
      <c r="L17" s="1815"/>
      <c r="M17" s="1796">
        <f>'BrV(a)'!M26</f>
        <v>657</v>
      </c>
      <c r="N17" s="1824"/>
      <c r="O17" s="1807">
        <f>'BrV(a)'!O26</f>
        <v>657</v>
      </c>
      <c r="P17" s="1815"/>
      <c r="Q17" s="2503"/>
      <c r="T17" s="435"/>
      <c r="U17" s="435"/>
      <c r="V17" s="435"/>
      <c r="W17" s="435"/>
      <c r="X17" s="435"/>
      <c r="Y17" s="435"/>
      <c r="Z17" s="435"/>
      <c r="AA17" s="435"/>
    </row>
    <row r="18" spans="1:29" ht="20.45" customHeight="1" x14ac:dyDescent="0.2">
      <c r="A18" s="2503"/>
      <c r="B18" s="3974"/>
      <c r="C18" s="1732">
        <f t="shared" ref="C18:C23" si="0">C17+1</f>
        <v>10</v>
      </c>
      <c r="E18" s="11" t="s">
        <v>64</v>
      </c>
      <c r="F18" s="11"/>
      <c r="G18" s="10"/>
      <c r="H18" s="10"/>
      <c r="I18" s="1741"/>
      <c r="J18" s="1439"/>
      <c r="K18" s="1791">
        <f>'BrV(a)'!K28</f>
        <v>668.43350000000009</v>
      </c>
      <c r="L18" s="1815"/>
      <c r="M18" s="1796">
        <f>'BrV(a)'!M28</f>
        <v>764.47850000000017</v>
      </c>
      <c r="N18" s="1824"/>
      <c r="O18" s="1807">
        <f>'BrV(a)'!O28</f>
        <v>860.52350000000013</v>
      </c>
      <c r="P18" s="1815"/>
      <c r="Q18" s="2503"/>
      <c r="T18" s="435"/>
      <c r="U18" s="435"/>
      <c r="V18" s="435"/>
      <c r="W18" s="435"/>
      <c r="X18" s="435"/>
      <c r="Y18" s="435"/>
      <c r="Z18" s="435"/>
      <c r="AA18" s="435"/>
    </row>
    <row r="19" spans="1:29" ht="20.45" customHeight="1" x14ac:dyDescent="0.2">
      <c r="A19" s="2503"/>
      <c r="B19" s="3974"/>
      <c r="C19" s="1732">
        <f t="shared" si="0"/>
        <v>11</v>
      </c>
      <c r="E19" s="11" t="s">
        <v>91</v>
      </c>
      <c r="F19" s="11"/>
      <c r="G19" s="11"/>
      <c r="H19" s="11"/>
      <c r="I19" s="722"/>
      <c r="J19" s="1440"/>
      <c r="K19" s="1791">
        <f>'BrV(a)'!J36+'BrV(a)'!J36*Stammdaten!$P$11</f>
        <v>129.91999999999999</v>
      </c>
      <c r="L19" s="1815"/>
      <c r="M19" s="1796">
        <f>'BrV(a)'!L36+'BrV(a)'!L36*Stammdaten!$P$11</f>
        <v>141.12</v>
      </c>
      <c r="N19" s="1824"/>
      <c r="O19" s="1807">
        <f>'BrV(a)'!N36+'BrV(a)'!N36*Stammdaten!$P$11</f>
        <v>156.80000000000001</v>
      </c>
      <c r="P19" s="1815"/>
      <c r="Q19" s="2503"/>
      <c r="T19" s="435"/>
      <c r="U19" s="435"/>
      <c r="V19" s="435"/>
      <c r="W19" s="435"/>
      <c r="X19" s="435"/>
      <c r="Y19" s="435"/>
      <c r="Z19" s="435"/>
      <c r="AA19" s="435"/>
    </row>
    <row r="20" spans="1:29" ht="20.45" customHeight="1" x14ac:dyDescent="0.2">
      <c r="A20" s="2503"/>
      <c r="B20" s="3974"/>
      <c r="C20" s="1732">
        <f t="shared" si="0"/>
        <v>12</v>
      </c>
      <c r="E20" s="11" t="s">
        <v>1088</v>
      </c>
      <c r="F20" s="11"/>
      <c r="G20" s="11"/>
      <c r="H20" s="11"/>
      <c r="I20" s="722"/>
      <c r="J20" s="1440"/>
      <c r="K20" s="1791">
        <f>'BrV(a)'!J37+'BrV(a)'!J37*Stammdaten!$P$11</f>
        <v>35.840000000000003</v>
      </c>
      <c r="L20" s="1815"/>
      <c r="M20" s="1796">
        <f>'BrV(a)'!L37+'BrV(a)'!L37*Stammdaten!$P$11</f>
        <v>35.840000000000003</v>
      </c>
      <c r="N20" s="1824"/>
      <c r="O20" s="1807">
        <f>'BrV(a)'!N37+'BrV(a)'!N37*Stammdaten!$P$11</f>
        <v>38.08</v>
      </c>
      <c r="P20" s="1815"/>
      <c r="Q20" s="2503"/>
      <c r="T20" s="435"/>
      <c r="U20" s="435"/>
      <c r="V20" s="435"/>
      <c r="W20" s="435"/>
      <c r="X20" s="435"/>
      <c r="Y20" s="435"/>
      <c r="Z20" s="435"/>
      <c r="AA20" s="435"/>
    </row>
    <row r="21" spans="1:29" ht="20.45" customHeight="1" x14ac:dyDescent="0.2">
      <c r="A21" s="2503"/>
      <c r="B21" s="3974"/>
      <c r="C21" s="1732">
        <f t="shared" si="0"/>
        <v>13</v>
      </c>
      <c r="E21" s="11" t="s">
        <v>67</v>
      </c>
      <c r="F21" s="11"/>
      <c r="I21" s="722"/>
      <c r="J21" s="1440"/>
      <c r="K21" s="1791">
        <f>('BrV(a)'!J38+'BrV(a)'!J39+'BrV(a)'!J40+'BrV(a)'!J41+'BrV(a)'!J44)+('BrV(a)'!J38+'BrV(a)'!J39+'BrV(a)'!J40+'BrV(a)'!J41+'BrV(a)'!J44)*Stammdaten!$P$11</f>
        <v>248.93446288333331</v>
      </c>
      <c r="L21" s="1815"/>
      <c r="M21" s="1796">
        <f>('BrV(a)'!L38+'BrV(a)'!L39+'BrV(a)'!L40+'BrV(a)'!L41+'BrV(a)'!L44)+(('BrV(a)'!L38+'BrV(a)'!L39+'BrV(a)'!L40+'BrV(a)'!L41+'BrV(a)'!L44)*Stammdaten!$P$11)</f>
        <v>268.59061514999996</v>
      </c>
      <c r="N21" s="1824"/>
      <c r="O21" s="1807">
        <f>('BrV(a)'!N38+'BrV(a)'!N39+'BrV(a)'!N40+'BrV(a)'!N41+'BrV(a)'!N44)+('BrV(a)'!N38+'BrV(a)'!N39+'BrV(a)'!N40+'BrV(a)'!N41+'BrV(a)'!N44)*Stammdaten!$P$11</f>
        <v>287.12676741666672</v>
      </c>
      <c r="P21" s="1815"/>
      <c r="Q21" s="2503"/>
      <c r="T21" s="435"/>
      <c r="U21" s="435"/>
      <c r="V21" s="435"/>
      <c r="W21" s="435"/>
      <c r="X21" s="435"/>
      <c r="Y21" s="435"/>
      <c r="Z21" s="435"/>
      <c r="AA21" s="435"/>
    </row>
    <row r="22" spans="1:29" ht="20.45" customHeight="1" x14ac:dyDescent="0.2">
      <c r="A22" s="2503"/>
      <c r="B22" s="3974"/>
      <c r="C22" s="1732">
        <f t="shared" si="0"/>
        <v>14</v>
      </c>
      <c r="E22" s="11" t="s">
        <v>66</v>
      </c>
      <c r="F22" s="11"/>
      <c r="G22" s="11"/>
      <c r="H22" s="11"/>
      <c r="I22" s="722"/>
      <c r="J22" s="1440"/>
      <c r="K22" s="1791">
        <f>('BrV(a)'!J42+'BrV(a)'!J42*Stammdaten!$P$11)+('BrV(a)'!J43+'BrV(a)'!J43*Stammdaten!$P$11)</f>
        <v>178.49042699999998</v>
      </c>
      <c r="L22" s="1815"/>
      <c r="M22" s="1796">
        <f>('BrV(a)'!L42+'BrV(a)'!L42*Stammdaten!$P$11)+('BrV(a)'!L43+'BrV(a)'!L43*Stammdaten!$P$11)</f>
        <v>185.78394699999996</v>
      </c>
      <c r="N22" s="1824"/>
      <c r="O22" s="1807">
        <f>('BrV(a)'!N42+'BrV(a)'!N42*Stammdaten!$P$11)+('BrV(a)'!N43+'BrV(a)'!N43*Stammdaten!$P$11)</f>
        <v>192.07746700000001</v>
      </c>
      <c r="P22" s="1815"/>
      <c r="Q22" s="2503"/>
      <c r="T22" s="435"/>
      <c r="U22" s="435"/>
      <c r="V22" s="435"/>
      <c r="W22" s="435"/>
      <c r="X22" s="435"/>
      <c r="Y22" s="435"/>
      <c r="Z22" s="435"/>
      <c r="AA22" s="435"/>
    </row>
    <row r="23" spans="1:29" ht="20.45" customHeight="1" x14ac:dyDescent="0.2">
      <c r="A23" s="2503"/>
      <c r="B23" s="3975"/>
      <c r="C23" s="1732">
        <f t="shared" si="0"/>
        <v>15</v>
      </c>
      <c r="D23" s="5" t="s">
        <v>105</v>
      </c>
      <c r="E23" s="5"/>
      <c r="F23" s="5"/>
      <c r="G23" s="5"/>
      <c r="H23" s="5"/>
      <c r="I23" s="720"/>
      <c r="J23" s="1436"/>
      <c r="K23" s="1806">
        <f>SUM(K17:K22)</f>
        <v>1918.6183898833333</v>
      </c>
      <c r="L23" s="1819">
        <f>K23/K7</f>
        <v>0.29517205998205126</v>
      </c>
      <c r="M23" s="1805">
        <f>SUM(M17:M22)</f>
        <v>2052.81306215</v>
      </c>
      <c r="N23" s="1825">
        <f>M23/M7</f>
        <v>0.27370840828666665</v>
      </c>
      <c r="O23" s="1808">
        <f>SUM(O17:O22)</f>
        <v>2191.607734416667</v>
      </c>
      <c r="P23" s="1819">
        <f>O23/O7</f>
        <v>0.25783620404901963</v>
      </c>
      <c r="Q23" s="2503"/>
      <c r="T23" s="435"/>
      <c r="V23" s="435"/>
      <c r="W23" s="435"/>
      <c r="X23" s="435"/>
      <c r="Y23" s="435"/>
      <c r="Z23" s="2672"/>
      <c r="AA23" s="435"/>
    </row>
    <row r="24" spans="1:29" ht="9.75" customHeight="1" x14ac:dyDescent="0.2">
      <c r="A24" s="2503"/>
      <c r="B24" s="1798"/>
      <c r="C24" s="1731"/>
      <c r="D24" s="70"/>
      <c r="E24" s="70"/>
      <c r="F24" s="70"/>
      <c r="G24" s="70"/>
      <c r="H24" s="70"/>
      <c r="I24" s="720"/>
      <c r="J24" s="1436"/>
      <c r="K24" s="1794"/>
      <c r="L24" s="1822"/>
      <c r="M24" s="1860"/>
      <c r="N24" s="1829"/>
      <c r="O24" s="1809"/>
      <c r="P24" s="1822"/>
      <c r="Q24" s="2503"/>
      <c r="T24" s="435"/>
      <c r="V24" s="435"/>
      <c r="W24" s="435"/>
      <c r="X24" s="435"/>
      <c r="Y24" s="435"/>
      <c r="Z24" s="2672"/>
      <c r="AA24" s="435"/>
    </row>
    <row r="25" spans="1:29" ht="11.25" customHeight="1" x14ac:dyDescent="0.2">
      <c r="A25" s="2503"/>
      <c r="B25" s="1798"/>
      <c r="C25" s="1730"/>
      <c r="D25" s="437"/>
      <c r="E25" s="437"/>
      <c r="F25" s="437"/>
      <c r="G25" s="437"/>
      <c r="H25" s="437"/>
      <c r="I25" s="1743"/>
      <c r="J25" s="1442"/>
      <c r="K25" s="1791"/>
      <c r="L25" s="1851"/>
      <c r="M25" s="1796"/>
      <c r="N25" s="1861"/>
      <c r="O25" s="1807"/>
      <c r="P25" s="1823"/>
      <c r="Q25" s="2503"/>
      <c r="T25" s="435"/>
      <c r="V25" s="435"/>
      <c r="W25" s="435"/>
      <c r="X25" s="435"/>
      <c r="Y25" s="435"/>
      <c r="Z25" s="2672"/>
      <c r="AA25" s="435"/>
    </row>
    <row r="26" spans="1:29" ht="27.75" customHeight="1" x14ac:dyDescent="0.2">
      <c r="A26" s="2503"/>
      <c r="B26" s="3969" t="s">
        <v>725</v>
      </c>
      <c r="C26" s="2101">
        <v>16</v>
      </c>
      <c r="D26" s="2102" t="s">
        <v>1100</v>
      </c>
      <c r="E26" s="2108"/>
      <c r="F26" s="2108"/>
      <c r="G26" s="2108"/>
      <c r="H26" s="2109"/>
      <c r="I26" s="2110"/>
      <c r="J26" s="2111"/>
      <c r="K26" s="2112">
        <f>K14-K23</f>
        <v>2054.0020017833331</v>
      </c>
      <c r="L26" s="1854">
        <f>K26/K7</f>
        <v>0.31600030796666662</v>
      </c>
      <c r="M26" s="2112">
        <f>M14-M23</f>
        <v>2389.187071183334</v>
      </c>
      <c r="N26" s="1854">
        <f>M26/M7</f>
        <v>0.31855827615777788</v>
      </c>
      <c r="O26" s="1863">
        <f>O14-O23</f>
        <v>2719.7721405833327</v>
      </c>
      <c r="P26" s="2113">
        <f>O26/O7</f>
        <v>0.31997319300980387</v>
      </c>
      <c r="Q26" s="2503"/>
      <c r="T26" s="435"/>
      <c r="V26" s="435"/>
      <c r="W26" s="435"/>
      <c r="X26" s="435"/>
      <c r="Y26" s="435"/>
      <c r="Z26" s="2672"/>
      <c r="AA26" s="435"/>
    </row>
    <row r="27" spans="1:29" ht="21.2" customHeight="1" x14ac:dyDescent="0.2">
      <c r="A27" s="2503"/>
      <c r="B27" s="3970"/>
      <c r="C27" s="1729">
        <f>C26+1</f>
        <v>17</v>
      </c>
      <c r="E27" s="2" t="s">
        <v>1497</v>
      </c>
      <c r="F27" s="2"/>
      <c r="G27" s="2"/>
      <c r="H27" s="2"/>
      <c r="I27" s="720"/>
      <c r="J27" s="1436"/>
      <c r="K27" s="1791">
        <f>'BrV(a)'!K25</f>
        <v>0</v>
      </c>
      <c r="L27" s="1817"/>
      <c r="M27" s="1796">
        <f>'BrV(a)'!M25</f>
        <v>0</v>
      </c>
      <c r="N27" s="1856"/>
      <c r="O27" s="1807">
        <f>'BrV(a)'!O25</f>
        <v>0</v>
      </c>
      <c r="P27" s="1817"/>
      <c r="Q27" s="2503"/>
      <c r="T27" s="435"/>
      <c r="V27" s="435"/>
      <c r="W27" s="435"/>
      <c r="X27" s="435"/>
      <c r="Y27" s="435"/>
      <c r="Z27" s="2672"/>
      <c r="AA27" s="435"/>
    </row>
    <row r="28" spans="1:29" ht="21.2" customHeight="1" thickBot="1" x14ac:dyDescent="0.25">
      <c r="A28" s="2503"/>
      <c r="B28" s="3970"/>
      <c r="C28" s="1732">
        <f>C27+1</f>
        <v>18</v>
      </c>
      <c r="E28" s="11" t="s">
        <v>779</v>
      </c>
      <c r="F28" s="11"/>
      <c r="G28" s="11"/>
      <c r="H28" s="11"/>
      <c r="I28" s="1742"/>
      <c r="J28" s="1441"/>
      <c r="K28" s="1791">
        <f>'BrV(a)'!K45</f>
        <v>40.558252500000002</v>
      </c>
      <c r="L28" s="1815"/>
      <c r="M28" s="1796">
        <f>'BrV(a)'!M45</f>
        <v>40.558252500000002</v>
      </c>
      <c r="N28" s="1824"/>
      <c r="O28" s="1807">
        <f>'BrV(a)'!O45</f>
        <v>40.558252500000002</v>
      </c>
      <c r="P28" s="1815"/>
      <c r="Q28" s="2503"/>
      <c r="T28" s="435"/>
      <c r="V28" s="435"/>
      <c r="W28" s="435"/>
      <c r="X28" s="435"/>
      <c r="Y28" s="435"/>
      <c r="Z28" s="2672"/>
      <c r="AA28" s="435"/>
    </row>
    <row r="29" spans="1:29" ht="27" customHeight="1" x14ac:dyDescent="0.2">
      <c r="A29" s="2503"/>
      <c r="B29" s="3971"/>
      <c r="C29" s="2091">
        <f>C28+1</f>
        <v>19</v>
      </c>
      <c r="D29" s="2092" t="s">
        <v>1102</v>
      </c>
      <c r="E29" s="2092"/>
      <c r="F29" s="2092"/>
      <c r="G29" s="2092"/>
      <c r="H29" s="2092"/>
      <c r="I29" s="2093"/>
      <c r="J29" s="1497"/>
      <c r="K29" s="2094">
        <f>K26+K27-K28</f>
        <v>2013.4437492833331</v>
      </c>
      <c r="L29" s="2095">
        <f>K29/K7</f>
        <v>0.30976057681282049</v>
      </c>
      <c r="M29" s="2094">
        <f>M26+M27-M28</f>
        <v>2348.628818683334</v>
      </c>
      <c r="N29" s="2095">
        <f>M29/M7</f>
        <v>0.31315050915777787</v>
      </c>
      <c r="O29" s="2096">
        <f>O26+O27-O28</f>
        <v>2679.2138880833327</v>
      </c>
      <c r="P29" s="2095">
        <f>O29/O7</f>
        <v>0.31520163389215677</v>
      </c>
      <c r="Q29" s="2503"/>
      <c r="T29" s="435"/>
      <c r="V29" s="435"/>
      <c r="W29" s="435"/>
      <c r="X29" s="3954" t="s">
        <v>1074</v>
      </c>
      <c r="Y29" s="3955"/>
      <c r="Z29" s="3958" t="s">
        <v>1075</v>
      </c>
      <c r="AA29" s="3959"/>
      <c r="AB29" s="3960" t="s">
        <v>1076</v>
      </c>
      <c r="AC29" s="3955"/>
    </row>
    <row r="30" spans="1:29" ht="6.75" customHeight="1" x14ac:dyDescent="0.2">
      <c r="A30" s="2503"/>
      <c r="B30" s="3972"/>
      <c r="C30" s="2098"/>
      <c r="D30" s="1737"/>
      <c r="E30" s="1737"/>
      <c r="F30" s="1737"/>
      <c r="G30" s="1737"/>
      <c r="H30" s="1737"/>
      <c r="I30" s="1747"/>
      <c r="J30" s="1448"/>
      <c r="K30" s="1852"/>
      <c r="L30" s="1826"/>
      <c r="M30" s="1852"/>
      <c r="N30" s="1826"/>
      <c r="O30" s="1764"/>
      <c r="P30" s="1764"/>
      <c r="Q30" s="2503"/>
      <c r="T30" s="435"/>
      <c r="V30" s="435"/>
      <c r="W30" s="435"/>
      <c r="X30" s="435"/>
      <c r="Y30" s="435"/>
      <c r="Z30" s="2672"/>
      <c r="AA30" s="435"/>
    </row>
    <row r="31" spans="1:29" ht="24.75" customHeight="1" x14ac:dyDescent="0.2">
      <c r="A31" s="2503"/>
      <c r="B31" s="2090"/>
      <c r="C31" s="2099">
        <v>20</v>
      </c>
      <c r="D31" s="20"/>
      <c r="E31" s="27" t="s">
        <v>137</v>
      </c>
      <c r="F31" s="27"/>
      <c r="G31" s="12"/>
      <c r="H31" s="12"/>
      <c r="I31" s="1745"/>
      <c r="J31" s="1444"/>
      <c r="K31" s="1794">
        <f>'BrV(a)'!K47</f>
        <v>1136.0518168999999</v>
      </c>
      <c r="L31" s="1838">
        <f>K31/K$7</f>
        <v>0.17477720259999999</v>
      </c>
      <c r="M31" s="1860">
        <f>'BrV(a)'!M47</f>
        <v>1188.4975245000001</v>
      </c>
      <c r="N31" s="1874">
        <f>M31/M$7</f>
        <v>0.15846633660000001</v>
      </c>
      <c r="O31" s="1809">
        <f>'BrV(a)'!O47</f>
        <v>1237.8547841000002</v>
      </c>
      <c r="P31" s="1838">
        <f>O31/O$7</f>
        <v>0.14562997460000002</v>
      </c>
      <c r="Q31" s="2503"/>
      <c r="T31" s="435"/>
      <c r="V31" s="435"/>
      <c r="W31" s="435"/>
      <c r="X31" s="435"/>
      <c r="Y31" s="435"/>
      <c r="Z31" s="2672"/>
      <c r="AA31" s="435"/>
    </row>
    <row r="32" spans="1:29" ht="24.75" customHeight="1" x14ac:dyDescent="0.2">
      <c r="A32" s="2503"/>
      <c r="B32" s="2090"/>
      <c r="C32" s="2091">
        <f>C31+1</f>
        <v>21</v>
      </c>
      <c r="D32" s="2092" t="s">
        <v>1188</v>
      </c>
      <c r="E32" s="2092"/>
      <c r="F32" s="2092"/>
      <c r="G32" s="2092"/>
      <c r="H32" s="2092"/>
      <c r="I32" s="2093"/>
      <c r="J32" s="1497"/>
      <c r="K32" s="2094">
        <f>K29-K31</f>
        <v>877.39193238333314</v>
      </c>
      <c r="L32" s="2095">
        <f>$K$32/$K$7</f>
        <v>0.13498337421282047</v>
      </c>
      <c r="M32" s="2094">
        <f>M29-M31</f>
        <v>1160.1312941833339</v>
      </c>
      <c r="N32" s="2095">
        <f>$M$32/$M$7</f>
        <v>0.15468417255777786</v>
      </c>
      <c r="O32" s="2096">
        <f>O29-O31</f>
        <v>1441.3591039833325</v>
      </c>
      <c r="P32" s="2097">
        <f>$O$32/$O$7</f>
        <v>0.16957165929215676</v>
      </c>
      <c r="Q32" s="2503"/>
      <c r="S32" s="435"/>
      <c r="T32" s="435"/>
      <c r="U32" s="435"/>
      <c r="V32" s="2674" t="s">
        <v>620</v>
      </c>
      <c r="W32" s="2674" t="s">
        <v>1079</v>
      </c>
      <c r="Y32" s="2523">
        <f>'BrV(a)'!K52+'BrV(a)'!K55+'BrV(a)'!K58</f>
        <v>411.03382320000003</v>
      </c>
      <c r="AA32" s="2523">
        <f>'BrV(a)'!M52+'BrV(a)'!M55+'BrV(a)'!M58</f>
        <v>441.87728475000006</v>
      </c>
      <c r="AC32" s="2523">
        <f>'BrV(a)'!O52+'BrV(a)'!O55+'BrV(a)'!O58</f>
        <v>473.10680230000008</v>
      </c>
    </row>
    <row r="33" spans="1:29" ht="9" customHeight="1" x14ac:dyDescent="0.2">
      <c r="A33" s="2503"/>
      <c r="B33" s="1798"/>
      <c r="C33" s="2098"/>
      <c r="D33" s="1737"/>
      <c r="E33" s="1737"/>
      <c r="F33" s="1737"/>
      <c r="G33" s="1737"/>
      <c r="H33" s="1737"/>
      <c r="I33" s="1747"/>
      <c r="J33" s="1448"/>
      <c r="K33" s="1852"/>
      <c r="L33" s="1826"/>
      <c r="M33" s="1852"/>
      <c r="N33" s="1826"/>
      <c r="O33" s="1764"/>
      <c r="P33" s="1764"/>
      <c r="Q33" s="2503"/>
      <c r="S33" s="435"/>
      <c r="T33" s="435"/>
      <c r="U33" s="435"/>
      <c r="V33" s="2674"/>
      <c r="W33" s="2674"/>
      <c r="Y33" s="2523"/>
      <c r="AA33" s="2523"/>
      <c r="AC33" s="2523"/>
    </row>
    <row r="34" spans="1:29" ht="26.45" customHeight="1" x14ac:dyDescent="0.2">
      <c r="A34" s="2503"/>
      <c r="B34" s="3966" t="s">
        <v>92</v>
      </c>
      <c r="C34" s="1862">
        <v>22</v>
      </c>
      <c r="D34" s="83" t="s">
        <v>76</v>
      </c>
      <c r="E34" s="83"/>
      <c r="F34" s="83"/>
      <c r="G34" s="83"/>
      <c r="H34" s="83"/>
      <c r="I34" s="721" t="s">
        <v>534</v>
      </c>
      <c r="J34" s="97"/>
      <c r="K34" s="1835">
        <f>'BrV(a)'!J60</f>
        <v>45</v>
      </c>
      <c r="L34" s="1865"/>
      <c r="M34" s="1863">
        <f>'BrV(a)'!L60</f>
        <v>47</v>
      </c>
      <c r="N34" s="1870"/>
      <c r="O34" s="1812">
        <f>'BrV(a)'!N60</f>
        <v>49</v>
      </c>
      <c r="P34" s="1827"/>
      <c r="Q34" s="2503"/>
      <c r="S34" s="435"/>
      <c r="T34" s="435"/>
      <c r="U34" s="435"/>
      <c r="V34" s="2674" t="s">
        <v>621</v>
      </c>
      <c r="W34" s="2674" t="s">
        <v>619</v>
      </c>
      <c r="X34" s="2523">
        <f>K34</f>
        <v>45</v>
      </c>
      <c r="Y34" s="2523">
        <f>X34*Stammdaten!$P$39</f>
        <v>787.5</v>
      </c>
      <c r="Z34" s="2523">
        <f>M34</f>
        <v>47</v>
      </c>
      <c r="AA34" s="2523">
        <f>Z34*Stammdaten!$P$39</f>
        <v>822.5</v>
      </c>
      <c r="AB34" s="2523">
        <f>O34</f>
        <v>49</v>
      </c>
      <c r="AC34" s="2523">
        <f>AB34*Stammdaten!$P$39</f>
        <v>857.5</v>
      </c>
    </row>
    <row r="35" spans="1:29" ht="3.2" customHeight="1" x14ac:dyDescent="0.2">
      <c r="A35" s="2503"/>
      <c r="B35" s="3967"/>
      <c r="C35" s="1731"/>
      <c r="D35" s="5"/>
      <c r="E35" s="5"/>
      <c r="F35" s="5"/>
      <c r="G35" s="5"/>
      <c r="H35" s="5"/>
      <c r="I35" s="720"/>
      <c r="J35" s="1436"/>
      <c r="K35" s="1791"/>
      <c r="L35" s="1866"/>
      <c r="M35" s="1810"/>
      <c r="N35" s="1871"/>
      <c r="O35" s="1807"/>
      <c r="P35" s="1828"/>
      <c r="Q35" s="2503"/>
      <c r="S35" s="435"/>
      <c r="T35" s="435"/>
      <c r="U35" s="435"/>
      <c r="V35" s="2674"/>
      <c r="W35" s="2674"/>
      <c r="X35" s="2523"/>
      <c r="Y35" s="2523"/>
      <c r="Z35" s="2523"/>
      <c r="AA35" s="2523"/>
      <c r="AB35" s="2523"/>
      <c r="AC35" s="2523"/>
    </row>
    <row r="36" spans="1:29" ht="20.45" customHeight="1" x14ac:dyDescent="0.2">
      <c r="A36" s="2503"/>
      <c r="B36" s="3967"/>
      <c r="C36" s="1731">
        <v>23</v>
      </c>
      <c r="E36" s="11" t="s">
        <v>78</v>
      </c>
      <c r="F36" s="11"/>
      <c r="I36" s="720"/>
      <c r="J36" s="1440"/>
      <c r="K36" s="1791">
        <f>'BrV(a)'!$K$59</f>
        <v>787.5</v>
      </c>
      <c r="L36" s="1840">
        <f>K36/K$7</f>
        <v>0.12115384615384615</v>
      </c>
      <c r="M36" s="1810">
        <f>'BrV(a)'!$M$59</f>
        <v>822.5</v>
      </c>
      <c r="N36" s="2002">
        <f>M36/M$7</f>
        <v>0.10966666666666666</v>
      </c>
      <c r="O36" s="1807">
        <f>'BrV(a)'!$O$59</f>
        <v>857.5</v>
      </c>
      <c r="P36" s="1832">
        <f>O36/O$7</f>
        <v>0.10088235294117646</v>
      </c>
      <c r="Q36" s="2503"/>
      <c r="S36" s="435"/>
      <c r="T36" s="435"/>
      <c r="U36" s="435"/>
      <c r="V36" s="2674" t="s">
        <v>622</v>
      </c>
      <c r="W36" s="2674" t="s">
        <v>619</v>
      </c>
      <c r="X36" s="2523">
        <f>'BrV(a)'!J61</f>
        <v>7.1581723476004591</v>
      </c>
      <c r="Y36" s="2523">
        <f>X36*Stammdaten!$P$39</f>
        <v>125.26801608300804</v>
      </c>
      <c r="Z36" s="2523">
        <f>'BrV(a)'!L61</f>
        <v>7.3391006156499898</v>
      </c>
      <c r="AA36" s="2523">
        <f>Z36*Stammdaten!$P$39</f>
        <v>128.43426077387483</v>
      </c>
      <c r="AB36" s="2523">
        <f>'BrV(a)'!N61</f>
        <v>7.4816262401039086</v>
      </c>
      <c r="AC36" s="2523">
        <f>AB36*Stammdaten!$P$39</f>
        <v>130.92845920181841</v>
      </c>
    </row>
    <row r="37" spans="1:29" ht="20.45" customHeight="1" x14ac:dyDescent="0.2">
      <c r="A37" s="2503"/>
      <c r="B37" s="3967"/>
      <c r="C37" s="1731">
        <f>C36+1</f>
        <v>24</v>
      </c>
      <c r="E37" s="11" t="s">
        <v>79</v>
      </c>
      <c r="F37" s="11"/>
      <c r="G37" s="11"/>
      <c r="H37" s="11"/>
      <c r="I37" s="1748"/>
      <c r="J37" s="1440"/>
      <c r="K37" s="1791">
        <f>'BrV(a)'!$K$62</f>
        <v>483.69533333333328</v>
      </c>
      <c r="L37" s="1867"/>
      <c r="M37" s="1810">
        <f>'BrV(a)'!$M$62</f>
        <v>483.69533333333328</v>
      </c>
      <c r="N37" s="1872"/>
      <c r="O37" s="1807">
        <f>'BrV(a)'!$O$62</f>
        <v>483.69533333333328</v>
      </c>
      <c r="P37" s="1815"/>
      <c r="Q37" s="2503"/>
      <c r="S37" s="435"/>
      <c r="T37" s="435"/>
      <c r="U37" s="435"/>
      <c r="V37" s="2674" t="s">
        <v>623</v>
      </c>
      <c r="W37" s="2674" t="s">
        <v>619</v>
      </c>
      <c r="X37" s="2523">
        <f>X34+X36</f>
        <v>52.158172347600456</v>
      </c>
      <c r="Y37" s="2523">
        <f>X37*Stammdaten!$P$39</f>
        <v>912.76801608300798</v>
      </c>
      <c r="Z37" s="2523">
        <f>Z34+Z36</f>
        <v>54.33910061564999</v>
      </c>
      <c r="AA37" s="2523">
        <f>Z37*Stammdaten!$P$39</f>
        <v>950.93426077387483</v>
      </c>
      <c r="AB37" s="2523">
        <f>AB34+AB36</f>
        <v>56.481626240103907</v>
      </c>
      <c r="AC37" s="2523">
        <f>AB37*Stammdaten!$P$39</f>
        <v>988.42845920181833</v>
      </c>
    </row>
    <row r="38" spans="1:29" ht="20.45" customHeight="1" x14ac:dyDescent="0.2">
      <c r="A38" s="2503"/>
      <c r="B38" s="3967"/>
      <c r="C38" s="1731">
        <f>C37+1</f>
        <v>25</v>
      </c>
      <c r="E38" s="2" t="s">
        <v>80</v>
      </c>
      <c r="F38" s="2"/>
      <c r="G38" s="11"/>
      <c r="H38" s="11"/>
      <c r="I38" s="722"/>
      <c r="J38" s="1440"/>
      <c r="K38" s="1791">
        <f>'BrV(a)'!$K$63</f>
        <v>268.0435333333333</v>
      </c>
      <c r="L38" s="1867"/>
      <c r="M38" s="1810">
        <f>'BrV(a)'!$M$63</f>
        <v>268.0435333333333</v>
      </c>
      <c r="N38" s="1872"/>
      <c r="O38" s="1807">
        <f>'BrV(a)'!$O$63</f>
        <v>268.0435333333333</v>
      </c>
      <c r="P38" s="1815"/>
      <c r="Q38" s="2503"/>
      <c r="T38" s="435"/>
      <c r="U38" s="435"/>
      <c r="V38" s="435"/>
      <c r="W38" s="435"/>
      <c r="X38" s="435"/>
      <c r="Y38" s="435"/>
      <c r="Z38" s="435"/>
      <c r="AA38" s="435"/>
    </row>
    <row r="39" spans="1:29" ht="20.45" customHeight="1" x14ac:dyDescent="0.2">
      <c r="A39" s="2503"/>
      <c r="B39" s="3967"/>
      <c r="C39" s="1731">
        <f>C38+1</f>
        <v>26</v>
      </c>
      <c r="E39" s="2" t="s">
        <v>81</v>
      </c>
      <c r="F39" s="2"/>
      <c r="G39" s="11"/>
      <c r="H39" s="11"/>
      <c r="I39" s="722"/>
      <c r="J39" s="1440"/>
      <c r="K39" s="1791">
        <f>'BrV(a)'!$K$64</f>
        <v>93.12939999999999</v>
      </c>
      <c r="L39" s="1867"/>
      <c r="M39" s="1810">
        <f>'BrV(a)'!$M$64</f>
        <v>93.12939999999999</v>
      </c>
      <c r="N39" s="1872"/>
      <c r="O39" s="1807">
        <f>'BrV(a)'!$O$64</f>
        <v>93.12939999999999</v>
      </c>
      <c r="P39" s="1815"/>
      <c r="Q39" s="2503"/>
      <c r="T39" s="435"/>
      <c r="U39" s="435"/>
      <c r="V39" s="435"/>
      <c r="W39" s="435"/>
      <c r="X39" s="435"/>
      <c r="Y39" s="435"/>
      <c r="Z39" s="435"/>
      <c r="AA39" s="435"/>
    </row>
    <row r="40" spans="1:29" ht="20.45" customHeight="1" x14ac:dyDescent="0.2">
      <c r="A40" s="2503"/>
      <c r="B40" s="3967"/>
      <c r="C40" s="1731">
        <f>C39+1</f>
        <v>27</v>
      </c>
      <c r="E40" s="11" t="s">
        <v>895</v>
      </c>
      <c r="F40" s="11"/>
      <c r="G40" s="11"/>
      <c r="H40" s="11"/>
      <c r="I40" s="722"/>
      <c r="J40" s="1440"/>
      <c r="K40" s="1791">
        <f>$M$40</f>
        <v>117.60000000000001</v>
      </c>
      <c r="L40" s="1867"/>
      <c r="M40" s="1810">
        <f>Stammdaten!$P$62</f>
        <v>117.60000000000001</v>
      </c>
      <c r="N40" s="1872"/>
      <c r="O40" s="1807">
        <f>$M$40</f>
        <v>117.60000000000001</v>
      </c>
      <c r="P40" s="1819"/>
      <c r="Q40" s="2503"/>
      <c r="T40" s="435"/>
      <c r="U40" s="435"/>
      <c r="V40" s="435"/>
      <c r="W40" s="435"/>
      <c r="X40" s="435"/>
      <c r="Y40" s="435"/>
      <c r="Z40" s="435"/>
      <c r="AA40" s="435"/>
    </row>
    <row r="41" spans="1:29" ht="20.45" customHeight="1" x14ac:dyDescent="0.2">
      <c r="A41" s="2503"/>
      <c r="B41" s="3968"/>
      <c r="C41" s="1733">
        <f>C40+1</f>
        <v>28</v>
      </c>
      <c r="D41" s="12" t="s">
        <v>138</v>
      </c>
      <c r="E41" s="12"/>
      <c r="F41" s="12"/>
      <c r="G41" s="12"/>
      <c r="H41" s="12"/>
      <c r="I41" s="1751"/>
      <c r="J41" s="1450"/>
      <c r="K41" s="1836">
        <f>SUM($K$36:$K$40)</f>
        <v>1749.9682666666665</v>
      </c>
      <c r="L41" s="1838">
        <f>K41/$K$7</f>
        <v>0.26922588717948714</v>
      </c>
      <c r="M41" s="1864">
        <f>SUM($M$36:$M$40)</f>
        <v>1784.9682666666665</v>
      </c>
      <c r="N41" s="1874">
        <f>M41/$M$7</f>
        <v>0.23799576888888888</v>
      </c>
      <c r="O41" s="1837">
        <f>SUM($O$36:$O$40)</f>
        <v>1819.9682666666665</v>
      </c>
      <c r="P41" s="1838">
        <f>O41/$O$7</f>
        <v>0.21411391372549018</v>
      </c>
      <c r="Q41" s="2503"/>
      <c r="T41" s="435"/>
      <c r="U41" s="435"/>
      <c r="V41" s="435"/>
      <c r="W41" s="435"/>
      <c r="X41" s="435"/>
      <c r="Y41" s="435"/>
      <c r="Z41" s="435"/>
      <c r="AA41" s="435"/>
    </row>
    <row r="42" spans="1:29" ht="3.2" customHeight="1" x14ac:dyDescent="0.2">
      <c r="A42" s="2503"/>
      <c r="B42" s="1798"/>
      <c r="C42" s="1734"/>
      <c r="D42" s="887"/>
      <c r="E42" s="887"/>
      <c r="F42" s="887"/>
      <c r="G42" s="887"/>
      <c r="H42" s="887"/>
      <c r="I42" s="891"/>
      <c r="J42" s="1446"/>
      <c r="K42" s="1796"/>
      <c r="L42" s="1868"/>
      <c r="M42" s="1810"/>
      <c r="N42" s="1868"/>
      <c r="O42" s="1810"/>
      <c r="P42" s="1829"/>
      <c r="Q42" s="2503"/>
      <c r="T42" s="435"/>
      <c r="U42" s="435"/>
      <c r="V42" s="435"/>
      <c r="W42" s="435"/>
      <c r="X42" s="435"/>
      <c r="Y42" s="435"/>
      <c r="Z42" s="435"/>
      <c r="AA42" s="435"/>
      <c r="AB42"/>
      <c r="AC42"/>
    </row>
    <row r="43" spans="1:29" ht="24" customHeight="1" x14ac:dyDescent="0.2">
      <c r="A43" s="2503"/>
      <c r="B43" s="1798"/>
      <c r="C43" s="1734">
        <v>29</v>
      </c>
      <c r="D43" s="887" t="s">
        <v>84</v>
      </c>
      <c r="E43" s="887"/>
      <c r="F43" s="887"/>
      <c r="G43" s="887"/>
      <c r="H43" s="2673" t="s">
        <v>1302</v>
      </c>
      <c r="I43" s="1746"/>
      <c r="J43" s="1446"/>
      <c r="K43" s="1805">
        <f>K32-K41</f>
        <v>-872.57633428333338</v>
      </c>
      <c r="L43" s="1869">
        <f>K43/K7</f>
        <v>-0.13424251296666667</v>
      </c>
      <c r="M43" s="1811">
        <f>M32-M41</f>
        <v>-624.8369724833326</v>
      </c>
      <c r="N43" s="1869">
        <f>M43/M7</f>
        <v>-8.3311596331111015E-2</v>
      </c>
      <c r="O43" s="1811">
        <f>O32-O41</f>
        <v>-378.60916268333403</v>
      </c>
      <c r="P43" s="1825">
        <f>O43/O7</f>
        <v>-4.4542254433333414E-2</v>
      </c>
      <c r="Q43" s="2503"/>
      <c r="T43" s="435"/>
      <c r="U43" s="435"/>
      <c r="V43" s="435"/>
      <c r="W43" s="435"/>
      <c r="X43" s="435"/>
      <c r="Y43" s="435"/>
      <c r="Z43" s="435"/>
      <c r="AA43" s="435"/>
      <c r="AB43"/>
      <c r="AC43"/>
    </row>
    <row r="44" spans="1:29" ht="12.6" customHeight="1" x14ac:dyDescent="0.2">
      <c r="A44" s="2503"/>
      <c r="B44" s="1798"/>
      <c r="C44" s="1735"/>
      <c r="D44" s="926"/>
      <c r="E44" s="926"/>
      <c r="F44" s="926"/>
      <c r="G44" s="926"/>
      <c r="H44" s="926"/>
      <c r="I44" s="1747"/>
      <c r="J44" s="1448"/>
      <c r="K44" s="1804"/>
      <c r="L44" s="1830"/>
      <c r="M44" s="1813"/>
      <c r="N44" s="1830"/>
      <c r="O44" s="1813"/>
      <c r="P44" s="1830"/>
      <c r="Q44" s="2503"/>
      <c r="T44" s="435"/>
      <c r="U44" s="435"/>
      <c r="V44" s="435"/>
      <c r="W44" s="435"/>
      <c r="X44" s="435"/>
      <c r="Y44" s="435"/>
      <c r="Z44" s="435"/>
      <c r="AA44" s="435"/>
      <c r="AB44"/>
      <c r="AC44"/>
    </row>
    <row r="45" spans="1:29" ht="8.1" customHeight="1" x14ac:dyDescent="0.2">
      <c r="A45" s="2503"/>
      <c r="B45" s="1798"/>
      <c r="C45"/>
      <c r="D45"/>
      <c r="E45"/>
      <c r="F45"/>
      <c r="G45"/>
      <c r="H45"/>
      <c r="I45" s="1287"/>
      <c r="J45" s="611"/>
      <c r="K45" s="1795"/>
      <c r="L45" s="589"/>
      <c r="M45" s="1803"/>
      <c r="N45" s="1797"/>
      <c r="O45" s="1803"/>
      <c r="P45" s="1797"/>
      <c r="Q45" s="2503"/>
      <c r="T45" s="435"/>
      <c r="U45" s="435"/>
      <c r="V45" s="435"/>
      <c r="W45" s="435"/>
      <c r="X45" s="435"/>
      <c r="Y45" s="435"/>
      <c r="Z45" s="435"/>
      <c r="AA45" s="435"/>
    </row>
    <row r="46" spans="1:29" ht="21.2" customHeight="1" x14ac:dyDescent="0.2">
      <c r="A46" s="2503"/>
      <c r="B46" s="3952" t="s">
        <v>89</v>
      </c>
      <c r="C46" s="1730">
        <v>30</v>
      </c>
      <c r="D46" s="1738" t="s">
        <v>862</v>
      </c>
      <c r="E46" s="1738"/>
      <c r="F46" s="1738"/>
      <c r="G46" s="1738"/>
      <c r="H46" s="1738"/>
      <c r="I46" s="1750"/>
      <c r="J46" s="1739"/>
      <c r="K46" s="1793"/>
      <c r="L46" s="1877"/>
      <c r="M46" s="1875"/>
      <c r="N46" s="1881"/>
      <c r="O46" s="1814"/>
      <c r="P46" s="1831"/>
      <c r="Q46" s="2503"/>
      <c r="T46" s="435"/>
      <c r="U46" s="435"/>
      <c r="V46" s="435"/>
      <c r="W46" s="435"/>
      <c r="X46" s="435"/>
      <c r="Y46" s="435"/>
      <c r="Z46" s="435"/>
      <c r="AA46" s="435"/>
    </row>
    <row r="47" spans="1:29" ht="21.2" customHeight="1" x14ac:dyDescent="0.2">
      <c r="A47" s="2503"/>
      <c r="B47" s="3953"/>
      <c r="C47" s="1731">
        <f>C46+1</f>
        <v>31</v>
      </c>
      <c r="D47" s="5"/>
      <c r="E47" s="70" t="s">
        <v>157</v>
      </c>
      <c r="F47" s="5"/>
      <c r="G47" s="5"/>
      <c r="H47" s="2673" t="s">
        <v>1303</v>
      </c>
      <c r="I47" s="722"/>
      <c r="J47" s="1440"/>
      <c r="K47" s="1791">
        <f>K43+K36+Y36</f>
        <v>40.191681799674654</v>
      </c>
      <c r="L47" s="1840"/>
      <c r="M47" s="1810">
        <f>M43+M36+AA36</f>
        <v>326.09728829054222</v>
      </c>
      <c r="N47" s="1873"/>
      <c r="O47" s="1791">
        <f>O43+O36+AC36</f>
        <v>609.81929651848441</v>
      </c>
      <c r="P47" s="1832"/>
      <c r="Q47" s="2503"/>
      <c r="T47" s="435"/>
      <c r="U47" s="435"/>
      <c r="V47" s="435"/>
      <c r="W47" s="435"/>
      <c r="X47" s="435"/>
      <c r="Y47" s="435"/>
      <c r="Z47" s="435"/>
      <c r="AA47" s="435"/>
    </row>
    <row r="48" spans="1:29" ht="21.2" customHeight="1" x14ac:dyDescent="0.2">
      <c r="A48" s="2503"/>
      <c r="B48" s="3953"/>
      <c r="C48" s="1731">
        <f>C47+1</f>
        <v>32</v>
      </c>
      <c r="E48" s="1040" t="s">
        <v>1125</v>
      </c>
      <c r="F48" s="4"/>
      <c r="G48" s="5"/>
      <c r="H48" s="2673" t="s">
        <v>1304</v>
      </c>
      <c r="I48" s="722" t="s">
        <v>988</v>
      </c>
      <c r="J48" s="1440"/>
      <c r="K48" s="1792">
        <f>IF(K34=0,0,(K43+K36+Y36)/(K34+X36))</f>
        <v>0.77057304715017838</v>
      </c>
      <c r="L48" s="1878"/>
      <c r="M48" s="1876">
        <f>IF(M34=0,0,(M43+M36+AA36)/(M34+Z36))</f>
        <v>6.0011535817842416</v>
      </c>
      <c r="N48" s="1868"/>
      <c r="O48" s="1801">
        <f>IF(O34=0,0,(O43+O36+AC36)/(O34+AB36))</f>
        <v>10.796772988195082</v>
      </c>
      <c r="P48" s="1822"/>
      <c r="Q48" s="2503"/>
      <c r="T48" s="435"/>
      <c r="U48" s="435"/>
      <c r="V48" s="435"/>
      <c r="W48" s="435"/>
      <c r="X48" s="435"/>
      <c r="Y48" s="435"/>
      <c r="Z48" s="435"/>
      <c r="AA48" s="435"/>
    </row>
    <row r="49" spans="1:27" ht="21.2" customHeight="1" x14ac:dyDescent="0.2">
      <c r="A49" s="2503"/>
      <c r="B49" s="3953"/>
      <c r="C49" s="1731">
        <f>C48+1</f>
        <v>33</v>
      </c>
      <c r="E49" s="70" t="s">
        <v>198</v>
      </c>
      <c r="F49" s="5"/>
      <c r="G49" s="5"/>
      <c r="H49" s="2673" t="s">
        <v>1305</v>
      </c>
      <c r="I49" s="722" t="s">
        <v>989</v>
      </c>
      <c r="J49" s="1440"/>
      <c r="K49" s="1791">
        <f>K43+K37+K38</f>
        <v>-120.8374676166668</v>
      </c>
      <c r="L49" s="1879"/>
      <c r="M49" s="1810">
        <f>M43+M37+M38</f>
        <v>126.90189418333398</v>
      </c>
      <c r="N49" s="1882"/>
      <c r="O49" s="1807">
        <f>O43+O37+O38</f>
        <v>373.12970398333255</v>
      </c>
      <c r="P49" s="1818"/>
      <c r="Q49" s="2503"/>
      <c r="T49" s="435"/>
      <c r="U49" s="435"/>
      <c r="V49" s="435"/>
      <c r="W49" s="435"/>
      <c r="X49" s="435"/>
      <c r="Y49" s="435"/>
      <c r="Z49" s="435"/>
      <c r="AA49" s="435"/>
    </row>
    <row r="50" spans="1:27" ht="3.4" customHeight="1" x14ac:dyDescent="0.2">
      <c r="A50" s="2503"/>
      <c r="B50" s="3953"/>
      <c r="C50" s="1736"/>
      <c r="D50" s="20"/>
      <c r="E50" s="12"/>
      <c r="F50" s="12"/>
      <c r="G50" s="439"/>
      <c r="H50" s="439"/>
      <c r="I50" s="1749"/>
      <c r="J50" s="1447"/>
      <c r="K50" s="1791"/>
      <c r="L50" s="1820"/>
      <c r="M50" s="1810"/>
      <c r="N50" s="1883"/>
      <c r="O50" s="1807"/>
      <c r="P50" s="1833"/>
      <c r="Q50" s="2503"/>
      <c r="T50" s="435"/>
      <c r="U50" s="435"/>
      <c r="V50" s="435"/>
      <c r="W50" s="435"/>
      <c r="X50" s="435"/>
      <c r="Y50" s="435"/>
      <c r="Z50" s="435"/>
      <c r="AA50" s="435"/>
    </row>
    <row r="51" spans="1:27" ht="10.5" customHeight="1" x14ac:dyDescent="0.2">
      <c r="A51" s="2503"/>
      <c r="B51" s="3953"/>
      <c r="C51" s="1729"/>
      <c r="F51" s="5"/>
      <c r="G51" s="102"/>
      <c r="H51" s="102"/>
      <c r="I51" s="1744"/>
      <c r="J51" s="1443"/>
      <c r="K51" s="1793"/>
      <c r="L51" s="1878"/>
      <c r="M51" s="1875"/>
      <c r="N51" s="1868"/>
      <c r="O51" s="1814"/>
      <c r="P51" s="1822"/>
      <c r="Q51" s="2503"/>
      <c r="T51" s="435"/>
      <c r="U51" s="435"/>
      <c r="V51" s="435"/>
      <c r="W51" s="435"/>
      <c r="X51" s="435"/>
      <c r="Y51" s="435"/>
      <c r="Z51" s="435"/>
      <c r="AA51" s="435"/>
    </row>
    <row r="52" spans="1:27" ht="20.45" customHeight="1" x14ac:dyDescent="0.2">
      <c r="A52" s="2503"/>
      <c r="B52" s="3953"/>
      <c r="C52" s="1731">
        <v>34</v>
      </c>
      <c r="D52" s="5" t="s">
        <v>87</v>
      </c>
      <c r="E52" s="5"/>
      <c r="F52" s="5"/>
      <c r="G52" s="5"/>
      <c r="H52" s="2673" t="s">
        <v>1306</v>
      </c>
      <c r="I52" s="722" t="s">
        <v>989</v>
      </c>
      <c r="J52" s="1440"/>
      <c r="K52" s="1791">
        <f>K23+K28+K31+K41</f>
        <v>4845.1967259499997</v>
      </c>
      <c r="L52" s="1839">
        <f>K52/K7</f>
        <v>0.74541488091538455</v>
      </c>
      <c r="M52" s="1810">
        <f>M23+M28+M31+M41</f>
        <v>5066.8371058166667</v>
      </c>
      <c r="N52" s="1869">
        <f>M52/M7</f>
        <v>0.6755782807755556</v>
      </c>
      <c r="O52" s="1807">
        <f>O23+O28+O31+O41</f>
        <v>5289.9890376833337</v>
      </c>
      <c r="P52" s="1839">
        <f>O52/O7</f>
        <v>0.62235165149215688</v>
      </c>
      <c r="Q52" s="2503"/>
      <c r="T52" s="435"/>
      <c r="U52" s="435"/>
      <c r="V52" s="435"/>
      <c r="W52" s="435"/>
      <c r="X52" s="435"/>
      <c r="Y52" s="435"/>
      <c r="Z52" s="435"/>
      <c r="AA52" s="435"/>
    </row>
    <row r="53" spans="1:27" ht="20.45" customHeight="1" x14ac:dyDescent="0.2">
      <c r="A53" s="2503"/>
      <c r="B53" s="3953"/>
      <c r="C53" s="1731">
        <f>C52+1</f>
        <v>35</v>
      </c>
      <c r="E53" s="11" t="s">
        <v>88</v>
      </c>
      <c r="F53" s="11"/>
      <c r="G53" s="103"/>
      <c r="H53" s="2673" t="s">
        <v>192</v>
      </c>
      <c r="I53" s="722"/>
      <c r="J53" s="1440"/>
      <c r="K53" s="1791">
        <f>K11+K12+K13+K27</f>
        <v>969.03539166666656</v>
      </c>
      <c r="L53" s="1840">
        <f>K53/K7</f>
        <v>0.14908236794871793</v>
      </c>
      <c r="M53" s="1810">
        <f>M11+M12+M13+M27</f>
        <v>976.32513333333327</v>
      </c>
      <c r="N53" s="1873">
        <f>M53/M7</f>
        <v>0.13017668444444444</v>
      </c>
      <c r="O53" s="1807">
        <f>O11+O12+O13+O27</f>
        <v>983.61487499999987</v>
      </c>
      <c r="P53" s="1840">
        <f>O53/O7</f>
        <v>0.11571939705882352</v>
      </c>
      <c r="Q53" s="2503"/>
      <c r="T53" s="435"/>
      <c r="U53" s="435"/>
      <c r="V53" s="435"/>
      <c r="W53" s="435"/>
      <c r="X53" s="435"/>
      <c r="Y53" s="435"/>
      <c r="Z53" s="435"/>
      <c r="AA53" s="435"/>
    </row>
    <row r="54" spans="1:27" ht="12.6" customHeight="1" x14ac:dyDescent="0.2">
      <c r="A54" s="2503"/>
      <c r="B54" s="3953"/>
      <c r="C54" s="1733"/>
      <c r="D54" s="20"/>
      <c r="E54" s="27"/>
      <c r="F54" s="27"/>
      <c r="G54" s="440"/>
      <c r="H54" s="440"/>
      <c r="I54" s="1751"/>
      <c r="J54" s="1450"/>
      <c r="K54" s="1791"/>
      <c r="L54" s="1880"/>
      <c r="M54" s="1810"/>
      <c r="N54" s="1884"/>
      <c r="O54" s="1807"/>
      <c r="P54" s="1834"/>
      <c r="Q54" s="2503"/>
      <c r="T54" s="435"/>
      <c r="U54" s="435"/>
      <c r="V54" s="435"/>
      <c r="W54" s="435"/>
      <c r="X54" s="435"/>
      <c r="Y54" s="435"/>
      <c r="Z54" s="435"/>
      <c r="AA54" s="435"/>
    </row>
    <row r="55" spans="1:27" ht="20.45" customHeight="1" x14ac:dyDescent="0.2">
      <c r="A55" s="2503"/>
      <c r="B55" s="3953"/>
      <c r="C55" s="1731">
        <v>36</v>
      </c>
      <c r="D55" s="70" t="s">
        <v>1330</v>
      </c>
      <c r="E55" s="11"/>
      <c r="F55" s="11"/>
      <c r="G55" s="103"/>
      <c r="H55" s="103"/>
      <c r="I55" s="722"/>
      <c r="J55" s="1440"/>
      <c r="K55" s="1793">
        <f>(K52-K53)/Stammdaten!S7</f>
        <v>3539.8733646423138</v>
      </c>
      <c r="L55" s="3148">
        <f>$K$55/K7</f>
        <v>0.54459590225266363</v>
      </c>
      <c r="M55" s="1875">
        <f>(M52-M53)/Stammdaten!S7</f>
        <v>3735.627372130898</v>
      </c>
      <c r="N55" s="3149">
        <f>M55/M7</f>
        <v>0.49808364961745305</v>
      </c>
      <c r="O55" s="1814">
        <f>(O52-O53)/Stammdaten!S7</f>
        <v>3932.7617924048709</v>
      </c>
      <c r="P55" s="3148">
        <f>O55/O7</f>
        <v>0.46267785792998484</v>
      </c>
      <c r="Q55" s="2503"/>
      <c r="T55" s="435"/>
      <c r="U55" s="435"/>
      <c r="V55" s="435"/>
      <c r="W55" s="435"/>
      <c r="X55" s="435"/>
      <c r="Y55" s="435"/>
      <c r="Z55" s="435"/>
      <c r="AA55" s="435"/>
    </row>
    <row r="56" spans="1:27" ht="21.2" customHeight="1" thickBot="1" x14ac:dyDescent="0.25">
      <c r="A56" s="2503"/>
      <c r="B56" s="3953"/>
      <c r="C56" s="1905">
        <v>37</v>
      </c>
      <c r="D56" s="2735"/>
      <c r="E56" s="2736"/>
      <c r="F56" s="2662" t="str">
        <f>IF(Stammdaten!S7=1,"","dto. mit Mwst.")</f>
        <v>dto. mit Mwst.</v>
      </c>
      <c r="G56" s="2663"/>
      <c r="H56" s="2737" t="s">
        <v>1308</v>
      </c>
      <c r="I56" s="2738"/>
      <c r="J56" s="2739"/>
      <c r="K56" s="2003">
        <f>IF(Stammdaten!S7=1,"",K52-K53)</f>
        <v>3876.1613342833334</v>
      </c>
      <c r="L56" s="2740">
        <f>IF(Stammdaten!S7=1,"",K56/K7)</f>
        <v>0.59633251296666667</v>
      </c>
      <c r="M56" s="2004">
        <f>IF(Stammdaten!S7=1,"",M52-M53)</f>
        <v>4090.5119724833335</v>
      </c>
      <c r="N56" s="2741">
        <f>IF(Stammdaten!S7=1,"",M56/M7)</f>
        <v>0.54540159633111118</v>
      </c>
      <c r="O56" s="2005">
        <f>IF(Stammdaten!S7=1,"",O52-O53)</f>
        <v>4306.3741626833335</v>
      </c>
      <c r="P56" s="2742">
        <f>IF(Stammdaten!S7=1,"",O56/O7)</f>
        <v>0.50663225443333337</v>
      </c>
      <c r="Q56" s="2503"/>
      <c r="T56" s="435"/>
      <c r="U56" s="435"/>
      <c r="V56" s="435"/>
      <c r="W56" s="435"/>
      <c r="X56" s="435"/>
      <c r="Y56" s="435"/>
      <c r="Z56" s="435"/>
      <c r="AA56" s="435"/>
    </row>
    <row r="57" spans="1:27" ht="6.6" customHeight="1" x14ac:dyDescent="0.2">
      <c r="A57" s="2503"/>
      <c r="B57" s="3953"/>
      <c r="C57" s="1731"/>
      <c r="D57" s="823"/>
      <c r="E57" s="73"/>
      <c r="F57" s="73"/>
      <c r="G57" s="5"/>
      <c r="H57" s="1752"/>
      <c r="I57" s="1744"/>
      <c r="J57" s="96"/>
      <c r="K57" s="1791"/>
      <c r="L57" s="1839"/>
      <c r="M57" s="1810"/>
      <c r="N57" s="1869"/>
      <c r="O57" s="1807"/>
      <c r="P57" s="1819"/>
      <c r="Q57" s="2503"/>
      <c r="T57" s="435"/>
      <c r="U57" s="435"/>
      <c r="V57" s="435"/>
      <c r="W57" s="435"/>
      <c r="X57" s="435"/>
      <c r="Y57" s="435"/>
      <c r="Z57" s="435"/>
      <c r="AA57" s="435"/>
    </row>
    <row r="58" spans="1:27" ht="21.2" customHeight="1" x14ac:dyDescent="0.2">
      <c r="A58" s="2503"/>
      <c r="B58" s="3953"/>
      <c r="C58" s="1731">
        <f>C56+1</f>
        <v>38</v>
      </c>
      <c r="D58" s="70" t="s">
        <v>379</v>
      </c>
      <c r="F58" s="73"/>
      <c r="G58" s="5"/>
      <c r="H58" s="1752"/>
      <c r="I58" s="1744"/>
      <c r="J58" s="96"/>
      <c r="K58" s="1791"/>
      <c r="L58" s="1839"/>
      <c r="M58" s="1810"/>
      <c r="N58" s="1869"/>
      <c r="O58" s="1807"/>
      <c r="P58" s="1819"/>
      <c r="Q58" s="2503"/>
      <c r="T58" s="435"/>
      <c r="U58" s="435"/>
      <c r="V58" s="435"/>
      <c r="W58" s="435"/>
      <c r="X58" s="435"/>
      <c r="Y58" s="435"/>
      <c r="Z58" s="435"/>
      <c r="AA58" s="435"/>
    </row>
    <row r="59" spans="1:27" ht="21.2" customHeight="1" x14ac:dyDescent="0.2">
      <c r="A59" s="2503"/>
      <c r="B59" s="3953"/>
      <c r="C59" s="1731">
        <f t="shared" ref="C59:C65" si="1">C58+1</f>
        <v>39</v>
      </c>
      <c r="D59" s="823"/>
      <c r="E59" s="11" t="s">
        <v>615</v>
      </c>
      <c r="G59" s="5"/>
      <c r="H59" s="1752"/>
      <c r="I59" s="722" t="s">
        <v>989</v>
      </c>
      <c r="J59" s="96"/>
      <c r="K59" s="1791">
        <f>K23+K28</f>
        <v>1959.1766423833333</v>
      </c>
      <c r="L59" s="1840">
        <f>K59/K7</f>
        <v>0.30141179113589744</v>
      </c>
      <c r="M59" s="1810">
        <f>M23+M28</f>
        <v>2093.3713146499999</v>
      </c>
      <c r="N59" s="1873">
        <f>M59/M7</f>
        <v>0.27911617528666666</v>
      </c>
      <c r="O59" s="1807">
        <f>O23+O28</f>
        <v>2232.165986916667</v>
      </c>
      <c r="P59" s="1840">
        <f>O59/O7</f>
        <v>0.26260776316666667</v>
      </c>
      <c r="Q59" s="2503"/>
      <c r="T59" s="435"/>
      <c r="U59" s="435"/>
      <c r="V59" s="435"/>
      <c r="W59" s="435"/>
      <c r="X59" s="435"/>
      <c r="Y59" s="435"/>
      <c r="Z59" s="435"/>
      <c r="AA59" s="435"/>
    </row>
    <row r="60" spans="1:27" ht="21.2" customHeight="1" x14ac:dyDescent="0.2">
      <c r="A60" s="2503"/>
      <c r="B60" s="3953"/>
      <c r="C60" s="1731">
        <f t="shared" si="1"/>
        <v>40</v>
      </c>
      <c r="D60" s="823"/>
      <c r="E60" s="11" t="s">
        <v>616</v>
      </c>
      <c r="G60" s="5"/>
      <c r="H60" s="1752"/>
      <c r="I60" s="1744"/>
      <c r="J60" s="96"/>
      <c r="K60" s="1791">
        <f>Y32</f>
        <v>411.03382320000003</v>
      </c>
      <c r="L60" s="1840">
        <f>K60/K7</f>
        <v>6.3235972799999998E-2</v>
      </c>
      <c r="M60" s="1796">
        <f>AA32</f>
        <v>441.87728475000006</v>
      </c>
      <c r="N60" s="1873">
        <f>M60/M7</f>
        <v>5.8916971300000009E-2</v>
      </c>
      <c r="O60" s="1791">
        <f>AC32</f>
        <v>473.10680230000008</v>
      </c>
      <c r="P60" s="1840">
        <f>O60/O7</f>
        <v>5.5659623800000009E-2</v>
      </c>
      <c r="Q60" s="2503"/>
      <c r="T60" s="435"/>
      <c r="U60" s="435"/>
      <c r="V60" s="435"/>
      <c r="W60" s="435"/>
      <c r="X60" s="435"/>
      <c r="Y60" s="435"/>
      <c r="Z60" s="435"/>
      <c r="AA60" s="435"/>
    </row>
    <row r="61" spans="1:27" ht="21.2" customHeight="1" x14ac:dyDescent="0.2">
      <c r="A61" s="2503"/>
      <c r="B61" s="3953"/>
      <c r="C61" s="1731">
        <f t="shared" si="1"/>
        <v>41</v>
      </c>
      <c r="D61" s="823"/>
      <c r="E61" s="11" t="s">
        <v>617</v>
      </c>
      <c r="G61" s="5"/>
      <c r="H61" s="1752"/>
      <c r="I61" s="1744"/>
      <c r="J61" s="96"/>
      <c r="K61" s="1791">
        <f>K53</f>
        <v>969.03539166666656</v>
      </c>
      <c r="L61" s="1840">
        <f>K61/K7</f>
        <v>0.14908236794871793</v>
      </c>
      <c r="M61" s="1810">
        <f>M53</f>
        <v>976.32513333333327</v>
      </c>
      <c r="N61" s="1873">
        <f>M61/M7</f>
        <v>0.13017668444444444</v>
      </c>
      <c r="O61" s="1807">
        <f>O53</f>
        <v>983.61487499999987</v>
      </c>
      <c r="P61" s="1840">
        <f>O61/O7</f>
        <v>0.11571939705882352</v>
      </c>
      <c r="Q61" s="2503"/>
      <c r="T61" s="435"/>
      <c r="U61" s="435"/>
      <c r="V61" s="435"/>
      <c r="W61" s="435"/>
      <c r="X61" s="435"/>
      <c r="Y61" s="435"/>
      <c r="Z61" s="435"/>
      <c r="AA61" s="435"/>
    </row>
    <row r="62" spans="1:27" ht="21.2" customHeight="1" x14ac:dyDescent="0.2">
      <c r="A62" s="2503"/>
      <c r="B62" s="3953"/>
      <c r="C62" s="1731">
        <f t="shared" si="1"/>
        <v>42</v>
      </c>
      <c r="D62" s="73" t="s">
        <v>618</v>
      </c>
      <c r="F62" s="73"/>
      <c r="G62" s="5"/>
      <c r="H62" s="1752"/>
      <c r="I62" s="3813" t="s">
        <v>259</v>
      </c>
      <c r="J62" s="96"/>
      <c r="K62" s="1791">
        <f>(K59+K60-K61)/Stammdaten!S7</f>
        <v>1279.6119396499239</v>
      </c>
      <c r="L62" s="1839">
        <f>K62/K7</f>
        <v>0.19686337533075751</v>
      </c>
      <c r="M62" s="1810">
        <f>(M59+M60-M61)/Stammdaten!S7</f>
        <v>1423.6743982343987</v>
      </c>
      <c r="N62" s="1869">
        <f>M62/M7</f>
        <v>0.18982325309791984</v>
      </c>
      <c r="O62" s="1807">
        <f>(O59+O60-O61)/Stammdaten!S7</f>
        <v>1572.2903326179612</v>
      </c>
      <c r="P62" s="1839">
        <f>O62/O7</f>
        <v>0.1849753332491719</v>
      </c>
      <c r="Q62" s="2503"/>
      <c r="T62" s="435"/>
      <c r="U62" s="435"/>
      <c r="V62" s="435"/>
      <c r="W62" s="435"/>
      <c r="X62" s="435"/>
      <c r="Y62" s="435"/>
      <c r="Z62" s="435"/>
      <c r="AA62" s="435"/>
    </row>
    <row r="63" spans="1:27" ht="21.2" customHeight="1" thickBot="1" x14ac:dyDescent="0.25">
      <c r="A63" s="2503"/>
      <c r="B63" s="3953"/>
      <c r="C63" s="1905">
        <f t="shared" si="1"/>
        <v>43</v>
      </c>
      <c r="D63" s="2662"/>
      <c r="E63" s="2735"/>
      <c r="F63" s="2662" t="str">
        <f>IF(Stammdaten!S7=1,"","dto. mit Mwst.")</f>
        <v>dto. mit Mwst.</v>
      </c>
      <c r="G63" s="2663"/>
      <c r="H63" s="2733"/>
      <c r="I63" s="3815"/>
      <c r="J63" s="2739"/>
      <c r="K63" s="2003">
        <f>IF(Stammdaten!$S$7=1,"",K59+K60-K61)</f>
        <v>1401.1750739166666</v>
      </c>
      <c r="L63" s="2740">
        <f>K63/K7</f>
        <v>0.21556539598717947</v>
      </c>
      <c r="M63" s="2004">
        <f>IF(Stammdaten!$S$7=1,"",M59+M60-M61)</f>
        <v>1558.9234660666666</v>
      </c>
      <c r="N63" s="2741">
        <f>M63/M7</f>
        <v>0.20785646214222223</v>
      </c>
      <c r="O63" s="2005">
        <f>IF(Stammdaten!$S$7=1,"",O59+O60-O61)</f>
        <v>1721.6579142166675</v>
      </c>
      <c r="P63" s="2742">
        <f>O63/O7</f>
        <v>0.20254798990784323</v>
      </c>
      <c r="Q63" s="2503"/>
      <c r="T63" s="435"/>
      <c r="U63" s="435"/>
      <c r="V63" s="435"/>
      <c r="W63" s="435"/>
      <c r="X63" s="435"/>
      <c r="Y63" s="435"/>
      <c r="Z63" s="435"/>
      <c r="AA63" s="435"/>
    </row>
    <row r="64" spans="1:27" ht="21.2" customHeight="1" x14ac:dyDescent="0.2">
      <c r="A64" s="2503"/>
      <c r="B64" s="3953"/>
      <c r="C64" s="1731">
        <f>C63+1</f>
        <v>44</v>
      </c>
      <c r="D64" s="73" t="s">
        <v>840</v>
      </c>
      <c r="E64" s="73"/>
      <c r="F64" s="73"/>
      <c r="G64" s="5"/>
      <c r="H64" s="2673" t="s">
        <v>1309</v>
      </c>
      <c r="I64" s="722" t="s">
        <v>989</v>
      </c>
      <c r="J64" s="96"/>
      <c r="K64" s="1791">
        <f>K14+K27-K59-K60</f>
        <v>1602.4099260833332</v>
      </c>
      <c r="L64" s="1869"/>
      <c r="M64" s="1810">
        <f>M14+M27-M59-M60</f>
        <v>1906.751533933334</v>
      </c>
      <c r="N64" s="1869"/>
      <c r="O64" s="1807">
        <f>O14+O27-O59-O60</f>
        <v>2206.1070857833324</v>
      </c>
      <c r="P64" s="1825"/>
      <c r="Q64" s="2503"/>
      <c r="T64" s="435"/>
      <c r="U64" s="435"/>
      <c r="V64" s="435"/>
      <c r="W64" s="435"/>
      <c r="X64" s="435"/>
      <c r="Y64" s="435"/>
      <c r="Z64" s="435"/>
      <c r="AA64" s="435"/>
    </row>
    <row r="65" spans="1:27" ht="16.5" customHeight="1" x14ac:dyDescent="0.2">
      <c r="A65" s="2503"/>
      <c r="B65" s="3953"/>
      <c r="C65" s="1731">
        <f t="shared" si="1"/>
        <v>45</v>
      </c>
      <c r="D65" s="823"/>
      <c r="E65" s="11" t="s">
        <v>380</v>
      </c>
      <c r="G65" s="5"/>
      <c r="H65" s="2673"/>
      <c r="I65" s="1744" t="s">
        <v>381</v>
      </c>
      <c r="J65" s="96"/>
      <c r="K65" s="2724">
        <f>K64/X37</f>
        <v>30.722125679640541</v>
      </c>
      <c r="L65" s="1869"/>
      <c r="M65" s="2725">
        <f>M64/Z37</f>
        <v>35.089861855096252</v>
      </c>
      <c r="N65" s="1869"/>
      <c r="O65" s="2726">
        <f>O64/AB37</f>
        <v>39.05884501988578</v>
      </c>
      <c r="P65" s="1825"/>
      <c r="Q65" s="2503"/>
      <c r="T65" s="435"/>
      <c r="U65" s="435"/>
      <c r="V65" s="435"/>
      <c r="W65" s="435"/>
      <c r="X65" s="435"/>
      <c r="Y65" s="435"/>
      <c r="Z65" s="435"/>
      <c r="AA65" s="435"/>
    </row>
    <row r="66" spans="1:27" ht="4.7" customHeight="1" thickBot="1" x14ac:dyDescent="0.25">
      <c r="A66" s="2503"/>
      <c r="B66" s="3953"/>
      <c r="C66" s="1731"/>
      <c r="D66" s="823"/>
      <c r="E66" s="73"/>
      <c r="F66" s="73"/>
      <c r="H66" s="1752"/>
      <c r="I66" s="1744"/>
      <c r="J66" s="96"/>
      <c r="K66" s="1791"/>
      <c r="L66" s="1869"/>
      <c r="M66" s="1810"/>
      <c r="N66" s="1869"/>
      <c r="O66" s="1807"/>
      <c r="P66" s="1825"/>
      <c r="Q66" s="2503"/>
      <c r="T66" s="435"/>
      <c r="U66" s="435"/>
      <c r="V66" s="435"/>
      <c r="W66" s="435"/>
      <c r="X66" s="435"/>
      <c r="Y66" s="435"/>
      <c r="Z66" s="435"/>
      <c r="AA66" s="435"/>
    </row>
    <row r="67" spans="1:27" ht="22.15" customHeight="1" x14ac:dyDescent="0.2">
      <c r="A67" s="2503"/>
      <c r="B67" s="3953"/>
      <c r="C67" s="2006">
        <v>46</v>
      </c>
      <c r="D67" s="2007" t="s">
        <v>591</v>
      </c>
      <c r="E67" s="2008"/>
      <c r="F67" s="2008"/>
      <c r="G67" s="2734" t="s">
        <v>585</v>
      </c>
      <c r="H67" s="2009"/>
      <c r="I67" s="2010" t="s">
        <v>989</v>
      </c>
      <c r="J67" s="2011"/>
      <c r="K67" s="2012">
        <f>K17+K18+K19+K20+K21+K28+K31</f>
        <v>2916.7380322833333</v>
      </c>
      <c r="L67" s="2013">
        <f>K67/K7</f>
        <v>0.44872892804358971</v>
      </c>
      <c r="M67" s="2014">
        <f>M17+M18+M19+M20+M21+M28+M31</f>
        <v>3096.0848921500001</v>
      </c>
      <c r="N67" s="2013">
        <f>M67/M7</f>
        <v>0.41281131895333334</v>
      </c>
      <c r="O67" s="2014">
        <f>O17+O18+O19+O20+O21+O28+O31</f>
        <v>3277.9433040166668</v>
      </c>
      <c r="P67" s="2013">
        <f>O67/O7</f>
        <v>0.38564038870784317</v>
      </c>
      <c r="Q67" s="2503"/>
      <c r="T67" s="435"/>
      <c r="U67" s="435"/>
      <c r="V67" s="435"/>
      <c r="W67" s="435"/>
      <c r="X67" s="435"/>
      <c r="Y67" s="435"/>
      <c r="Z67" s="435"/>
      <c r="AA67" s="435"/>
    </row>
    <row r="68" spans="1:27" ht="22.15" customHeight="1" x14ac:dyDescent="0.2">
      <c r="A68" s="2503"/>
      <c r="B68" s="3953"/>
      <c r="C68" s="1733">
        <f>C67+1</f>
        <v>47</v>
      </c>
      <c r="D68" s="2018" t="s">
        <v>93</v>
      </c>
      <c r="E68" s="2722"/>
      <c r="F68" s="2722"/>
      <c r="G68" s="12"/>
      <c r="H68" s="1925" t="s">
        <v>1508</v>
      </c>
      <c r="I68" s="2021"/>
      <c r="J68" s="2727"/>
      <c r="K68" s="1794">
        <f>(K14+K27)-K67</f>
        <v>1055.8823593833331</v>
      </c>
      <c r="L68" s="2728">
        <f>K68/K7</f>
        <v>0.16244343990512816</v>
      </c>
      <c r="M68" s="2723">
        <f>(M14+M27)-M67</f>
        <v>1345.9152411833338</v>
      </c>
      <c r="N68" s="2729">
        <f>M68/M7</f>
        <v>0.17945536549111119</v>
      </c>
      <c r="O68" s="1809">
        <f>(O14+O27)-O67</f>
        <v>1633.4365709833328</v>
      </c>
      <c r="P68" s="2728">
        <f>O68/O7</f>
        <v>0.19216900835098033</v>
      </c>
      <c r="Q68" s="2503"/>
      <c r="T68" s="435"/>
      <c r="U68" s="435"/>
      <c r="V68" s="435"/>
      <c r="W68" s="435"/>
      <c r="X68" s="435"/>
      <c r="Y68" s="435"/>
      <c r="Z68" s="435"/>
      <c r="AA68" s="435"/>
    </row>
    <row r="69" spans="1:27" ht="22.15" customHeight="1" thickBot="1" x14ac:dyDescent="0.25">
      <c r="A69" s="2503"/>
      <c r="B69" s="3953"/>
      <c r="C69" s="1905">
        <v>48</v>
      </c>
      <c r="D69" s="2661" t="s">
        <v>382</v>
      </c>
      <c r="E69" s="2662"/>
      <c r="F69" s="2662"/>
      <c r="G69" s="2663"/>
      <c r="H69" s="2733" t="s">
        <v>383</v>
      </c>
      <c r="I69" s="2664"/>
      <c r="J69" s="2665"/>
      <c r="K69" s="2003">
        <f>K22+K36+K38+K39</f>
        <v>1327.1633603333332</v>
      </c>
      <c r="L69" s="2666">
        <f>K69/K7</f>
        <v>0.20417897851282049</v>
      </c>
      <c r="M69" s="2004">
        <f>M22+M36+M38+M39</f>
        <v>1369.4568803333332</v>
      </c>
      <c r="N69" s="2667">
        <f>M69/M7</f>
        <v>0.1825942507111111</v>
      </c>
      <c r="O69" s="2005">
        <f>O22+O36+O38+O39</f>
        <v>1410.7504003333333</v>
      </c>
      <c r="P69" s="2666">
        <f>O69/O7</f>
        <v>0.16597063533333334</v>
      </c>
      <c r="Q69" s="2503"/>
      <c r="T69" s="435"/>
      <c r="U69" s="435"/>
      <c r="V69" s="435"/>
      <c r="W69" s="435"/>
      <c r="X69" s="435"/>
      <c r="Y69" s="435"/>
      <c r="Z69" s="435"/>
      <c r="AA69" s="435"/>
    </row>
    <row r="70" spans="1:27" ht="21.2" customHeight="1" x14ac:dyDescent="0.2">
      <c r="A70" s="2503"/>
      <c r="C70" s="29" t="s">
        <v>771</v>
      </c>
      <c r="D70" s="29"/>
      <c r="E70" s="29"/>
      <c r="F70" s="29"/>
      <c r="G70" s="29"/>
      <c r="H70" s="29"/>
      <c r="I70" s="68"/>
      <c r="J70" s="68"/>
      <c r="Q70" s="2503"/>
      <c r="T70" s="435"/>
      <c r="U70" s="435"/>
      <c r="V70" s="435"/>
      <c r="W70" s="435"/>
      <c r="X70" s="435"/>
      <c r="Y70" s="435"/>
      <c r="Z70" s="435"/>
      <c r="AA70" s="435"/>
    </row>
    <row r="71" spans="1:27" ht="15" customHeight="1" x14ac:dyDescent="0.2">
      <c r="A71" s="2503"/>
      <c r="B71" s="2503"/>
      <c r="C71" s="2503"/>
      <c r="D71" s="2503"/>
      <c r="E71" s="2503"/>
      <c r="F71" s="2503"/>
      <c r="G71" s="2503"/>
      <c r="H71" s="2503"/>
      <c r="I71" s="2503"/>
      <c r="J71" s="2503"/>
      <c r="K71" s="2503"/>
      <c r="L71" s="2503"/>
      <c r="M71" s="2503" t="s">
        <v>43</v>
      </c>
      <c r="N71" s="2503"/>
      <c r="O71" s="2503"/>
      <c r="P71" s="2503"/>
      <c r="Q71" s="2503"/>
      <c r="T71" s="435"/>
      <c r="U71" s="435"/>
      <c r="V71" s="435"/>
      <c r="W71" s="435"/>
      <c r="X71" s="435"/>
      <c r="Y71" s="435"/>
      <c r="Z71" s="435"/>
      <c r="AA71" s="435"/>
    </row>
    <row r="72" spans="1:27" ht="15" x14ac:dyDescent="0.2">
      <c r="T72" s="435"/>
      <c r="U72" s="435"/>
      <c r="V72" s="435"/>
      <c r="W72" s="435"/>
      <c r="X72" s="435"/>
      <c r="Y72" s="435"/>
      <c r="Z72" s="435"/>
      <c r="AA72" s="435"/>
    </row>
    <row r="93" ht="13.9" customHeight="1" x14ac:dyDescent="0.2"/>
    <row r="95" ht="33" customHeight="1" x14ac:dyDescent="0.2"/>
    <row r="98" ht="18" customHeight="1" x14ac:dyDescent="0.2"/>
    <row r="99" ht="18" customHeight="1" x14ac:dyDescent="0.2"/>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9" ht="18.75" customHeight="1" x14ac:dyDescent="0.2"/>
    <row r="110" ht="18.75" customHeight="1" x14ac:dyDescent="0.2"/>
    <row r="111" ht="18.75" customHeight="1" x14ac:dyDescent="0.2"/>
    <row r="112" ht="18.75" customHeight="1" x14ac:dyDescent="0.2"/>
    <row r="113" ht="18.75" customHeight="1" x14ac:dyDescent="0.2"/>
    <row r="114" ht="18.75" customHeight="1" x14ac:dyDescent="0.2"/>
    <row r="115" ht="26.45" customHeight="1" x14ac:dyDescent="0.2"/>
    <row r="116" ht="18.75" customHeight="1" x14ac:dyDescent="0.2"/>
    <row r="117" ht="16.149999999999999" customHeight="1" x14ac:dyDescent="0.2"/>
    <row r="118" ht="40.9" customHeight="1" x14ac:dyDescent="0.2"/>
    <row r="119" ht="17.45" customHeight="1" x14ac:dyDescent="0.2"/>
    <row r="120" ht="16.149999999999999" customHeight="1" x14ac:dyDescent="0.2"/>
    <row r="121" ht="16.149999999999999" customHeight="1" x14ac:dyDescent="0.2"/>
    <row r="122" ht="16.149999999999999" customHeight="1" x14ac:dyDescent="0.2"/>
    <row r="123" ht="16.149999999999999" customHeight="1" x14ac:dyDescent="0.2"/>
    <row r="124" ht="24" customHeight="1" x14ac:dyDescent="0.2"/>
    <row r="125" ht="16.149999999999999" customHeight="1" x14ac:dyDescent="0.2"/>
    <row r="127" ht="40.9" customHeight="1" x14ac:dyDescent="0.2"/>
    <row r="128" ht="42.6" customHeight="1" x14ac:dyDescent="0.2"/>
    <row r="129" ht="39.200000000000003" customHeight="1" x14ac:dyDescent="0.2"/>
    <row r="192" hidden="1" x14ac:dyDescent="0.2"/>
    <row r="193" spans="3:18" hidden="1" x14ac:dyDescent="0.2"/>
    <row r="194" spans="3:18" ht="19.5" hidden="1" x14ac:dyDescent="0.2">
      <c r="D194" s="1346" t="s">
        <v>743</v>
      </c>
    </row>
    <row r="195" spans="3:18" hidden="1" x14ac:dyDescent="0.2"/>
    <row r="196" spans="3:18" hidden="1" x14ac:dyDescent="0.2"/>
    <row r="197" spans="3:18" ht="24.6" hidden="1" customHeight="1" x14ac:dyDescent="0.2"/>
    <row r="198" spans="3:18" ht="30" hidden="1" x14ac:dyDescent="0.2">
      <c r="E198" s="1222" t="s">
        <v>741</v>
      </c>
      <c r="F198" s="1196" t="s">
        <v>696</v>
      </c>
      <c r="K198" s="1192" t="s">
        <v>698</v>
      </c>
      <c r="M198" s="1767">
        <v>37299</v>
      </c>
      <c r="N198" s="1767"/>
      <c r="P198" s="1767"/>
      <c r="Q198" s="1266" t="s">
        <v>700</v>
      </c>
      <c r="R198" s="345"/>
    </row>
    <row r="199" spans="3:18" hidden="1" x14ac:dyDescent="0.2">
      <c r="Q199" s="1270" t="s">
        <v>701</v>
      </c>
      <c r="R199" s="309"/>
    </row>
    <row r="200" spans="3:18" hidden="1" x14ac:dyDescent="0.2">
      <c r="Q200" s="101"/>
      <c r="R200" s="349"/>
    </row>
    <row r="201" spans="3:18" ht="20.25" hidden="1" x14ac:dyDescent="0.2">
      <c r="C201" s="348"/>
      <c r="D201" s="1227" t="s">
        <v>69</v>
      </c>
      <c r="E201" s="1213"/>
      <c r="F201" s="1213"/>
      <c r="G201" s="1213"/>
      <c r="H201" s="1213"/>
      <c r="I201" s="1214"/>
      <c r="J201" s="1215"/>
      <c r="K201" s="1768" t="e">
        <f>#REF!-#REF!</f>
        <v>#REF!</v>
      </c>
      <c r="L201" s="1768"/>
      <c r="M201" s="1769" t="e">
        <f>#REF!-#REF!</f>
        <v>#REF!</v>
      </c>
      <c r="N201" s="1769"/>
      <c r="O201" s="1768" t="e">
        <f>#REF!-#REF!</f>
        <v>#REF!</v>
      </c>
      <c r="P201" s="1769"/>
      <c r="Q201" s="1267" t="e">
        <f>M201/#REF!</f>
        <v>#REF!</v>
      </c>
      <c r="R201" s="349"/>
    </row>
    <row r="202" spans="3:18" ht="16.5" hidden="1" x14ac:dyDescent="0.2">
      <c r="C202" s="7"/>
      <c r="E202" s="11" t="s">
        <v>682</v>
      </c>
      <c r="F202" s="11"/>
      <c r="G202" s="5"/>
      <c r="H202" s="5"/>
      <c r="I202" s="1210"/>
      <c r="J202" s="91"/>
      <c r="K202" s="1759"/>
      <c r="L202" s="1759"/>
      <c r="M202" s="1758"/>
      <c r="N202" s="1758"/>
      <c r="O202" s="1759"/>
      <c r="P202" s="1758"/>
      <c r="Q202" s="1267" t="e">
        <f>M202/#REF!</f>
        <v>#REF!</v>
      </c>
      <c r="R202" s="349"/>
    </row>
    <row r="203" spans="3:18" ht="16.5" hidden="1" x14ac:dyDescent="0.2">
      <c r="C203" s="7"/>
      <c r="E203" s="11" t="s">
        <v>742</v>
      </c>
      <c r="F203" s="11"/>
      <c r="G203" s="5"/>
      <c r="H203" s="5"/>
      <c r="I203" s="1211">
        <v>0.45</v>
      </c>
      <c r="J203" s="91"/>
      <c r="K203" s="1759">
        <f>K31*$I$203</f>
        <v>511.22331760499998</v>
      </c>
      <c r="L203" s="1759"/>
      <c r="M203" s="1758">
        <f>M31*$I$203</f>
        <v>534.82388602500009</v>
      </c>
      <c r="N203" s="1758"/>
      <c r="O203" s="1759">
        <f>O31*$I$203</f>
        <v>557.0346528450001</v>
      </c>
      <c r="P203" s="1758"/>
      <c r="Q203" s="1267" t="e">
        <f>M203/#REF!</f>
        <v>#REF!</v>
      </c>
      <c r="R203" s="349"/>
    </row>
    <row r="204" spans="3:18" ht="18" hidden="1" x14ac:dyDescent="0.2">
      <c r="C204" s="889"/>
      <c r="D204" s="1228" t="s">
        <v>70</v>
      </c>
      <c r="E204" s="890"/>
      <c r="F204" s="890"/>
      <c r="G204" s="890"/>
      <c r="H204" s="890"/>
      <c r="I204" s="893"/>
      <c r="J204" s="892"/>
      <c r="K204" s="1761" t="e">
        <f>K201-K203</f>
        <v>#REF!</v>
      </c>
      <c r="L204" s="1761"/>
      <c r="M204" s="1761" t="e">
        <f>M201-M203</f>
        <v>#REF!</v>
      </c>
      <c r="N204" s="1761"/>
      <c r="O204" s="1761" t="e">
        <f>O201-O203</f>
        <v>#REF!</v>
      </c>
      <c r="P204" s="1761"/>
      <c r="Q204" s="1268" t="e">
        <f>M204/#REF!</f>
        <v>#REF!</v>
      </c>
      <c r="R204" s="349"/>
    </row>
    <row r="205" spans="3:18" ht="16.5" hidden="1" x14ac:dyDescent="0.2">
      <c r="C205" s="922"/>
      <c r="D205" s="923"/>
      <c r="E205" s="923"/>
      <c r="F205" s="923"/>
      <c r="G205" s="923"/>
      <c r="H205" s="923"/>
      <c r="I205" s="924" t="s">
        <v>58</v>
      </c>
      <c r="J205" s="925"/>
      <c r="K205" s="1770" t="e">
        <f>K204/K7</f>
        <v>#REF!</v>
      </c>
      <c r="L205" s="1770"/>
      <c r="M205" s="1770" t="e">
        <f>M204/M7</f>
        <v>#REF!</v>
      </c>
      <c r="N205" s="1770"/>
      <c r="O205" s="1770" t="e">
        <f>O204/O7</f>
        <v>#REF!</v>
      </c>
      <c r="P205" s="1770"/>
      <c r="Q205" s="1267"/>
      <c r="R205" s="349"/>
    </row>
    <row r="206" spans="3:18" ht="15.75" hidden="1" x14ac:dyDescent="0.2">
      <c r="C206" s="101"/>
      <c r="E206" s="11" t="s">
        <v>683</v>
      </c>
      <c r="G206" s="434"/>
      <c r="H206" s="434"/>
      <c r="I206" s="1216">
        <f>100%-I203</f>
        <v>0.55000000000000004</v>
      </c>
      <c r="J206" s="84" t="s">
        <v>569</v>
      </c>
      <c r="K206" s="1759">
        <f>K31*$I$206</f>
        <v>624.82849929500003</v>
      </c>
      <c r="L206" s="1759"/>
      <c r="M206" s="1758">
        <f>M31*$I$206</f>
        <v>653.67363847500008</v>
      </c>
      <c r="N206" s="1758"/>
      <c r="O206" s="1759">
        <f>O31*$I$206</f>
        <v>680.82013125500021</v>
      </c>
      <c r="P206" s="1758"/>
      <c r="Q206" s="1267" t="e">
        <f>M206/#REF!</f>
        <v>#REF!</v>
      </c>
      <c r="R206" s="349"/>
    </row>
    <row r="207" spans="3:18" ht="16.5" hidden="1" x14ac:dyDescent="0.2">
      <c r="C207" s="6"/>
      <c r="D207" s="4"/>
      <c r="E207" s="11" t="s">
        <v>79</v>
      </c>
      <c r="F207" s="11"/>
      <c r="G207" s="11"/>
      <c r="H207" s="11"/>
      <c r="I207"/>
      <c r="J207" s="94"/>
      <c r="K207" s="1759">
        <f>'FlV(a)'!$K$62</f>
        <v>483.69533333333328</v>
      </c>
      <c r="L207" s="1759"/>
      <c r="M207" s="1758">
        <f>'FlV(a)'!$M$62</f>
        <v>483.69533333333328</v>
      </c>
      <c r="N207" s="1758"/>
      <c r="O207" s="1759">
        <f>'FlV(a)'!$O$62</f>
        <v>483.69533333333328</v>
      </c>
      <c r="P207" s="1758"/>
      <c r="Q207" s="1267" t="e">
        <f>M207/#REF!</f>
        <v>#REF!</v>
      </c>
      <c r="R207" s="349"/>
    </row>
    <row r="208" spans="3:18" ht="16.5" hidden="1" x14ac:dyDescent="0.2">
      <c r="C208" s="6"/>
      <c r="D208" s="4"/>
      <c r="E208" s="67" t="s">
        <v>80</v>
      </c>
      <c r="F208" s="67"/>
      <c r="G208" s="11"/>
      <c r="H208" s="11"/>
      <c r="I208" s="94"/>
      <c r="J208" s="94"/>
      <c r="K208" s="1759">
        <f>'FlV(a)'!$K$63</f>
        <v>268.0435333333333</v>
      </c>
      <c r="L208" s="1759"/>
      <c r="M208" s="1758">
        <f>'FlV(a)'!$M$63</f>
        <v>268.0435333333333</v>
      </c>
      <c r="N208" s="1758"/>
      <c r="O208" s="1759">
        <f>'FlV(a)'!$O$63</f>
        <v>268.0435333333333</v>
      </c>
      <c r="P208" s="1758"/>
      <c r="Q208" s="1267" t="e">
        <f>M208/#REF!</f>
        <v>#REF!</v>
      </c>
      <c r="R208" s="349"/>
    </row>
    <row r="209" spans="3:18" ht="16.5" hidden="1" x14ac:dyDescent="0.2">
      <c r="C209" s="6"/>
      <c r="D209" s="4"/>
      <c r="E209" s="67" t="s">
        <v>81</v>
      </c>
      <c r="F209" s="67"/>
      <c r="G209" s="11"/>
      <c r="H209" s="11"/>
      <c r="I209" s="94"/>
      <c r="J209" s="94"/>
      <c r="K209" s="1759">
        <f>'FlV(a)'!$K$64</f>
        <v>93.12939999999999</v>
      </c>
      <c r="L209" s="1759"/>
      <c r="M209" s="1758">
        <f>'FlV(a)'!$M$64</f>
        <v>93.12939999999999</v>
      </c>
      <c r="N209" s="1758"/>
      <c r="O209" s="1759">
        <f>'FlV(a)'!$O$64</f>
        <v>93.12939999999999</v>
      </c>
      <c r="P209" s="1758"/>
      <c r="Q209" s="1267" t="e">
        <f>M209/#REF!</f>
        <v>#REF!</v>
      </c>
      <c r="R209" s="349"/>
    </row>
    <row r="210" spans="3:18" ht="16.5" hidden="1" x14ac:dyDescent="0.2">
      <c r="C210" s="6"/>
      <c r="D210" s="4"/>
      <c r="E210" s="94" t="s">
        <v>82</v>
      </c>
      <c r="F210" s="94"/>
      <c r="G210" s="98"/>
      <c r="H210" s="98"/>
      <c r="I210" s="4"/>
      <c r="J210" s="4"/>
      <c r="K210" s="1759">
        <f>'FlV(a)'!$K$65</f>
        <v>0</v>
      </c>
      <c r="L210" s="1759"/>
      <c r="M210" s="1758">
        <f>'FlV(a)'!$M$65</f>
        <v>0</v>
      </c>
      <c r="N210" s="1758"/>
      <c r="O210" s="1759">
        <f>'FlV(a)'!$O$65</f>
        <v>0</v>
      </c>
      <c r="P210" s="1758"/>
      <c r="Q210" s="1268" t="e">
        <f>M210/#REF!</f>
        <v>#REF!</v>
      </c>
      <c r="R210" s="349"/>
    </row>
    <row r="211" spans="3:18" ht="16.5" hidden="1" x14ac:dyDescent="0.2">
      <c r="C211" s="6"/>
      <c r="D211" s="4"/>
      <c r="E211" s="11" t="s">
        <v>1000</v>
      </c>
      <c r="F211" s="11"/>
      <c r="G211" s="11"/>
      <c r="H211" s="11"/>
      <c r="I211" s="94"/>
      <c r="J211" s="94"/>
      <c r="K211" s="1759">
        <f>$M$40</f>
        <v>117.60000000000001</v>
      </c>
      <c r="L211" s="1759"/>
      <c r="M211" s="1758">
        <f>Stammdaten!$P$62</f>
        <v>117.60000000000001</v>
      </c>
      <c r="N211" s="1758"/>
      <c r="O211" s="1759">
        <f>$M$40</f>
        <v>117.60000000000001</v>
      </c>
      <c r="P211" s="1758"/>
      <c r="Q211" s="1267" t="e">
        <f>M211/#REF!</f>
        <v>#REF!</v>
      </c>
      <c r="R211" s="349"/>
    </row>
    <row r="212" spans="3:18" ht="16.5" hidden="1" x14ac:dyDescent="0.2">
      <c r="C212" s="7"/>
      <c r="D212" s="5" t="s">
        <v>83</v>
      </c>
      <c r="E212" s="5"/>
      <c r="F212" s="5"/>
      <c r="G212" s="5"/>
      <c r="H212" s="5"/>
      <c r="I212" s="94"/>
      <c r="J212" s="94"/>
      <c r="K212" s="1760">
        <f>SUM(K206:K211)</f>
        <v>1587.2967659616666</v>
      </c>
      <c r="L212" s="1760"/>
      <c r="M212" s="1761">
        <f>SUM(M206:M211)</f>
        <v>1616.1419051416665</v>
      </c>
      <c r="N212" s="1761"/>
      <c r="O212" s="1760">
        <f>SUM(O206:O211)</f>
        <v>1643.2883979216667</v>
      </c>
      <c r="P212" s="1761"/>
      <c r="Q212" s="1268" t="e">
        <f>M212/#REF!</f>
        <v>#REF!</v>
      </c>
      <c r="R212" s="349"/>
    </row>
    <row r="213" spans="3:18" ht="16.5" hidden="1" x14ac:dyDescent="0.2">
      <c r="C213" s="8"/>
      <c r="D213" s="12"/>
      <c r="E213" s="12"/>
      <c r="F213" s="12"/>
      <c r="G213" s="12"/>
      <c r="H213" s="12"/>
      <c r="I213" s="99" t="s">
        <v>58</v>
      </c>
      <c r="J213" s="100"/>
      <c r="K213" s="1766">
        <f>K212/$K$7</f>
        <v>0.24419950245564101</v>
      </c>
      <c r="L213" s="1766"/>
      <c r="M213" s="1765">
        <f>M212/$M$7</f>
        <v>0.2154855873522222</v>
      </c>
      <c r="N213" s="1765"/>
      <c r="O213" s="1766">
        <f>O212/$O$7</f>
        <v>0.19332804681431373</v>
      </c>
      <c r="P213" s="1765"/>
      <c r="Q213" s="1267" t="e">
        <f>M213/#REF!</f>
        <v>#REF!</v>
      </c>
      <c r="R213" s="349"/>
    </row>
    <row r="214" spans="3:18" ht="15.75" hidden="1" x14ac:dyDescent="0.2">
      <c r="C214" s="1217"/>
      <c r="D214" s="1226" t="s">
        <v>699</v>
      </c>
      <c r="E214" s="1218"/>
      <c r="F214" s="1218"/>
      <c r="G214" s="1218"/>
      <c r="H214" s="1218"/>
      <c r="I214" s="1219"/>
      <c r="J214" s="1220"/>
      <c r="K214" s="1771" t="e">
        <f>K212/K204</f>
        <v>#REF!</v>
      </c>
      <c r="L214" s="1771"/>
      <c r="M214" s="1771" t="e">
        <f>M212/M204</f>
        <v>#REF!</v>
      </c>
      <c r="N214" s="1771"/>
      <c r="O214" s="1771" t="e">
        <f>O212/O204</f>
        <v>#REF!</v>
      </c>
      <c r="P214" s="1771"/>
      <c r="Q214" s="1267" t="e">
        <f>M214/#REF!</f>
        <v>#REF!</v>
      </c>
      <c r="R214" s="349"/>
    </row>
    <row r="215" spans="3:18" ht="15" hidden="1" x14ac:dyDescent="0.2">
      <c r="C215" s="101"/>
      <c r="D215" s="1345" t="s">
        <v>729</v>
      </c>
      <c r="E215" s="1225"/>
      <c r="J215" s="1212"/>
      <c r="K215" s="1772"/>
      <c r="L215" s="1772"/>
      <c r="M215" s="1772"/>
      <c r="N215" s="1772"/>
      <c r="O215" s="1772"/>
      <c r="P215" s="1772"/>
      <c r="Q215" s="1269" t="e">
        <f>M215/#REF!</f>
        <v>#REF!</v>
      </c>
      <c r="R215" s="349"/>
    </row>
    <row r="216" spans="3:18" ht="15" hidden="1" x14ac:dyDescent="0.2">
      <c r="C216" s="101"/>
      <c r="D216" s="1225"/>
      <c r="E216" s="1345" t="s">
        <v>684</v>
      </c>
      <c r="J216" s="1212"/>
      <c r="K216" s="1772"/>
      <c r="L216" s="1772"/>
      <c r="M216" s="1772"/>
      <c r="N216" s="1772"/>
      <c r="O216" s="1772"/>
      <c r="P216" s="1772"/>
      <c r="Q216" s="1269" t="e">
        <f>M216/#REF!</f>
        <v>#REF!</v>
      </c>
      <c r="R216" s="349"/>
    </row>
    <row r="217" spans="3:18" hidden="1" x14ac:dyDescent="0.2">
      <c r="C217" s="101"/>
      <c r="J217" s="1212"/>
      <c r="K217" s="1772"/>
      <c r="L217" s="1772"/>
      <c r="M217" s="1772"/>
      <c r="N217" s="1772"/>
      <c r="O217" s="1772"/>
      <c r="P217" s="1772"/>
      <c r="Q217" s="1269" t="e">
        <f>M217/#REF!</f>
        <v>#REF!</v>
      </c>
      <c r="R217" s="349"/>
    </row>
    <row r="218" spans="3:18" ht="27" hidden="1" x14ac:dyDescent="0.2">
      <c r="C218" s="1229" t="s">
        <v>722</v>
      </c>
      <c r="D218" s="1230"/>
      <c r="E218" s="1231"/>
      <c r="F218" s="1231"/>
      <c r="G218" s="1232"/>
      <c r="H218" s="1232"/>
      <c r="I218" s="1233"/>
      <c r="J218" s="1234"/>
      <c r="K218" s="1773"/>
      <c r="L218" s="1773"/>
      <c r="M218" s="1773"/>
      <c r="N218" s="1773"/>
      <c r="O218" s="1773"/>
      <c r="P218" s="1773"/>
      <c r="Q218" s="1269" t="e">
        <f>M218/#REF!</f>
        <v>#REF!</v>
      </c>
      <c r="R218" s="349"/>
    </row>
    <row r="219" spans="3:18" ht="16.5" hidden="1" x14ac:dyDescent="0.2">
      <c r="C219" s="1235"/>
      <c r="D219" s="1236"/>
      <c r="E219" s="1232"/>
      <c r="F219" s="1232"/>
      <c r="G219" s="1232"/>
      <c r="H219" s="1232"/>
      <c r="I219" s="1233"/>
      <c r="J219" s="1234"/>
      <c r="K219" s="1773"/>
      <c r="L219" s="1773"/>
      <c r="M219" s="1773"/>
      <c r="N219" s="1773"/>
      <c r="O219" s="1773"/>
      <c r="P219" s="1773"/>
      <c r="Q219" s="1267" t="e">
        <f>M219/#REF!</f>
        <v>#REF!</v>
      </c>
      <c r="R219" s="349"/>
    </row>
    <row r="220" spans="3:18" ht="18" hidden="1" x14ac:dyDescent="0.2">
      <c r="C220" s="1237"/>
      <c r="D220" s="1347" t="s">
        <v>731</v>
      </c>
      <c r="E220" s="1238"/>
      <c r="F220" s="1239"/>
      <c r="G220" s="1239"/>
      <c r="H220" s="1239"/>
      <c r="I220" s="1240"/>
      <c r="J220" s="1241"/>
      <c r="K220" s="1774" t="e">
        <f>K204-K212</f>
        <v>#REF!</v>
      </c>
      <c r="L220" s="1774"/>
      <c r="M220" s="1774" t="e">
        <f>M204-M212</f>
        <v>#REF!</v>
      </c>
      <c r="N220" s="1774"/>
      <c r="O220" s="1774" t="e">
        <f>O204-O212</f>
        <v>#REF!</v>
      </c>
      <c r="P220" s="1774"/>
      <c r="Q220" s="1268" t="e">
        <f>M220/#REF!</f>
        <v>#REF!</v>
      </c>
      <c r="R220" s="349" t="s">
        <v>730</v>
      </c>
    </row>
    <row r="221" spans="3:18" ht="15.75" hidden="1" x14ac:dyDescent="0.2">
      <c r="C221" s="1242"/>
      <c r="D221" s="1243"/>
      <c r="E221" s="1243"/>
      <c r="F221" s="1244" t="str">
        <f>" (100 % gekaufte Quoten zu :"&amp;Stammdaten!P54&amp;" €/kg ) "</f>
        <v xml:space="preserve"> (100 % gekaufte Quoten zu :0 €/kg ) </v>
      </c>
      <c r="G221" s="1245"/>
      <c r="H221" s="1245"/>
      <c r="I221" s="1246"/>
      <c r="J221" s="1247"/>
      <c r="K221" s="1775"/>
      <c r="L221" s="1775"/>
      <c r="M221" s="1775"/>
      <c r="N221" s="1775"/>
      <c r="O221" s="1775"/>
      <c r="P221" s="1775"/>
      <c r="Q221" s="1267" t="e">
        <f>M221/#REF!</f>
        <v>#REF!</v>
      </c>
      <c r="R221" s="349"/>
    </row>
    <row r="222" spans="3:18" ht="15.75" hidden="1" x14ac:dyDescent="0.2">
      <c r="C222" s="1248"/>
      <c r="D222" s="1249"/>
      <c r="E222" s="1249"/>
      <c r="F222" s="1348" t="s">
        <v>740</v>
      </c>
      <c r="G222" s="1349"/>
      <c r="H222" s="1349"/>
      <c r="I222" s="1233"/>
      <c r="J222" s="1234"/>
      <c r="K222" s="1776"/>
      <c r="L222" s="1776"/>
      <c r="M222" s="1776"/>
      <c r="N222" s="1776"/>
      <c r="O222" s="1776"/>
      <c r="P222" s="1776"/>
      <c r="Q222" s="1267"/>
      <c r="R222" s="349"/>
    </row>
    <row r="223" spans="3:18" ht="44.25" hidden="1" x14ac:dyDescent="0.2">
      <c r="C223" s="1248"/>
      <c r="D223" s="1249"/>
      <c r="E223" s="1249"/>
      <c r="F223" s="1250"/>
      <c r="G223" s="1232"/>
      <c r="H223" s="1232"/>
      <c r="I223" s="1233"/>
      <c r="J223" s="1234"/>
      <c r="K223" s="1262"/>
      <c r="L223" s="1262"/>
      <c r="M223" s="1776"/>
      <c r="N223" s="1776"/>
      <c r="O223" s="1776"/>
      <c r="P223" s="1776"/>
      <c r="Q223" s="1267" t="e">
        <f>M223/#REF!</f>
        <v>#REF!</v>
      </c>
      <c r="R223" s="349"/>
    </row>
    <row r="224" spans="3:18" ht="15.75" hidden="1" x14ac:dyDescent="0.2">
      <c r="C224" s="1248"/>
      <c r="D224" s="1249"/>
      <c r="E224" s="1249"/>
      <c r="F224" s="1250"/>
      <c r="G224" s="1232"/>
      <c r="H224" s="1232"/>
      <c r="I224" s="1233"/>
      <c r="J224" s="1234"/>
      <c r="K224" s="1776"/>
      <c r="L224" s="1776"/>
      <c r="M224" s="1776"/>
      <c r="N224" s="1776"/>
      <c r="O224" s="1776"/>
      <c r="P224" s="1776"/>
      <c r="Q224" s="1267" t="e">
        <f>M224/#REF!</f>
        <v>#REF!</v>
      </c>
      <c r="R224" s="349"/>
    </row>
    <row r="225" spans="3:18" ht="22.5" hidden="1" x14ac:dyDescent="0.2">
      <c r="C225" s="1248"/>
      <c r="D225" s="1251" t="s">
        <v>695</v>
      </c>
      <c r="E225" s="1232"/>
      <c r="F225" s="1232"/>
      <c r="G225" s="1232"/>
      <c r="H225" s="1232"/>
      <c r="I225" s="1233"/>
      <c r="J225" s="1234"/>
      <c r="K225" s="1773"/>
      <c r="L225" s="1773"/>
      <c r="M225" s="1773"/>
      <c r="N225" s="1773"/>
      <c r="O225" s="1773"/>
      <c r="P225" s="1773"/>
      <c r="Q225" s="1267" t="e">
        <f>M225/#REF!</f>
        <v>#REF!</v>
      </c>
      <c r="R225" s="349"/>
    </row>
    <row r="226" spans="3:18" ht="22.5" hidden="1" x14ac:dyDescent="0.2">
      <c r="C226" s="1248"/>
      <c r="D226" s="1251"/>
      <c r="E226" s="1232"/>
      <c r="F226" s="1348" t="s">
        <v>733</v>
      </c>
      <c r="G226" s="1349"/>
      <c r="H226" s="1349"/>
      <c r="I226" s="1233"/>
      <c r="J226" s="1234"/>
      <c r="K226" s="1773"/>
      <c r="L226" s="1773"/>
      <c r="M226" s="1773"/>
      <c r="N226" s="1773"/>
      <c r="O226" s="1773"/>
      <c r="P226" s="1773"/>
      <c r="Q226" s="1267"/>
      <c r="R226" s="349"/>
    </row>
    <row r="227" spans="3:18" ht="15" hidden="1" x14ac:dyDescent="0.2">
      <c r="C227" s="1248"/>
      <c r="D227" s="1249"/>
      <c r="E227" s="1232"/>
      <c r="F227" s="1250" t="s">
        <v>734</v>
      </c>
      <c r="G227" s="1232"/>
      <c r="H227" s="1232"/>
      <c r="I227" s="1233"/>
      <c r="J227" s="1234"/>
      <c r="K227" s="1773"/>
      <c r="L227" s="1773"/>
      <c r="M227" s="1773"/>
      <c r="N227" s="1773"/>
      <c r="O227" s="1773"/>
      <c r="P227" s="1773"/>
      <c r="Q227" s="1267" t="e">
        <f>M227/#REF!</f>
        <v>#REF!</v>
      </c>
      <c r="R227" s="349"/>
    </row>
    <row r="228" spans="3:18" ht="14.25" hidden="1" x14ac:dyDescent="0.2">
      <c r="C228" s="1248"/>
      <c r="D228" s="1232"/>
      <c r="E228" s="1232"/>
      <c r="F228" s="1250" t="s">
        <v>732</v>
      </c>
      <c r="G228" s="1232"/>
      <c r="H228" s="1232"/>
      <c r="I228" s="1233"/>
      <c r="J228" s="1234"/>
      <c r="K228" s="1773"/>
      <c r="L228" s="1773"/>
      <c r="M228" s="1773"/>
      <c r="N228" s="1773"/>
      <c r="O228" s="1773"/>
      <c r="P228" s="1773"/>
      <c r="Q228" s="1267" t="e">
        <f>M228/#REF!</f>
        <v>#REF!</v>
      </c>
      <c r="R228" s="349"/>
    </row>
    <row r="229" spans="3:18" ht="23.25" hidden="1" x14ac:dyDescent="0.2">
      <c r="C229" s="1248"/>
      <c r="D229" s="1232"/>
      <c r="E229" s="1249"/>
      <c r="F229" s="1232"/>
      <c r="G229" s="1271">
        <v>40</v>
      </c>
      <c r="H229" s="1271"/>
      <c r="I229" s="1272" t="s">
        <v>961</v>
      </c>
      <c r="J229" s="1234"/>
      <c r="K229" s="1786" t="e">
        <f>K204-K206-K207-K208-K209-K211-(K210*$G$229)/100</f>
        <v>#REF!</v>
      </c>
      <c r="L229" s="1786"/>
      <c r="M229" s="1786" t="e">
        <f>M204-M206-M207-M208-M209-M211-(M210*$G$229)/100</f>
        <v>#REF!</v>
      </c>
      <c r="N229" s="1786"/>
      <c r="O229" s="1786" t="e">
        <f>O204-O206-O207-O208-O209-O211-(O210*$G$229)/100</f>
        <v>#REF!</v>
      </c>
      <c r="P229" s="1777"/>
      <c r="Q229" s="1268" t="e">
        <f>M229/#REF!</f>
        <v>#REF!</v>
      </c>
      <c r="R229" s="349" t="s">
        <v>730</v>
      </c>
    </row>
    <row r="230" spans="3:18" hidden="1" x14ac:dyDescent="0.2">
      <c r="C230" s="1252"/>
      <c r="D230" s="1253"/>
      <c r="E230" s="1254" t="str">
        <f>"(z.B.hier: " &amp;G229&amp;" %  der gesamten Quote werden auf  "&amp;Stammdaten!P55&amp; "  Jahre (!)abgeschrieben und verzinst)"</f>
        <v>(z.B.hier: 40 %  der gesamten Quote werden auf  0  Jahre (!)abgeschrieben und verzinst)</v>
      </c>
      <c r="F230" s="1253"/>
      <c r="G230" s="1253"/>
      <c r="H230" s="1253"/>
      <c r="I230" s="1255"/>
      <c r="J230" s="1256"/>
      <c r="K230" s="1778"/>
      <c r="L230" s="1778"/>
      <c r="M230" s="1778"/>
      <c r="N230" s="1778"/>
      <c r="O230" s="1778"/>
      <c r="P230" s="1778"/>
      <c r="Q230" s="1273" t="e">
        <f>M230/#REF!</f>
        <v>#REF!</v>
      </c>
      <c r="R230" s="309"/>
    </row>
    <row r="231" spans="3:18" hidden="1" x14ac:dyDescent="0.2">
      <c r="C231" s="1257"/>
      <c r="D231" s="1257"/>
      <c r="E231" s="1257"/>
      <c r="F231" s="1257"/>
      <c r="G231" s="1257"/>
      <c r="H231" s="1257"/>
      <c r="I231" s="1257"/>
      <c r="J231" s="1257"/>
      <c r="K231" s="1779"/>
      <c r="L231" s="1779"/>
      <c r="M231" s="1779"/>
      <c r="N231" s="1779"/>
      <c r="O231" s="1779"/>
      <c r="P231" s="1779"/>
      <c r="R231" s="534" t="s">
        <v>746</v>
      </c>
    </row>
    <row r="232" spans="3:18" ht="24.75" hidden="1" x14ac:dyDescent="0.2">
      <c r="C232" s="1258"/>
      <c r="D232" s="1343" t="s">
        <v>685</v>
      </c>
      <c r="E232" s="1259"/>
      <c r="F232" s="1259"/>
      <c r="G232" s="1261" t="s">
        <v>694</v>
      </c>
      <c r="H232" s="1261"/>
      <c r="I232" s="1260"/>
      <c r="J232" s="1260"/>
      <c r="K232" s="1780" t="e">
        <f>K229/K34</f>
        <v>#REF!</v>
      </c>
      <c r="L232" s="1780"/>
      <c r="M232" s="1781" t="e">
        <f>M229/M34</f>
        <v>#REF!</v>
      </c>
      <c r="N232" s="1781"/>
      <c r="O232" s="1780" t="e">
        <f>O229/O34</f>
        <v>#REF!</v>
      </c>
      <c r="P232" s="1781"/>
      <c r="R232" s="534" t="s">
        <v>747</v>
      </c>
    </row>
    <row r="233" spans="3:18" ht="44.25" hidden="1" x14ac:dyDescent="0.2">
      <c r="C233" s="1217"/>
      <c r="D233" s="1263" t="s">
        <v>697</v>
      </c>
      <c r="E233" s="1218"/>
      <c r="F233" s="1218"/>
      <c r="G233" s="1218"/>
      <c r="H233" s="1218"/>
      <c r="I233" s="1219"/>
      <c r="J233" s="1219"/>
      <c r="K233" s="1264" t="e">
        <f>IF(K232&lt;0,"N",IF(K232&lt;Stammdaten!$P$39,"L",IF(K232&gt;Stammdaten!$P$39,"J",)))</f>
        <v>#REF!</v>
      </c>
      <c r="L233" s="1264"/>
      <c r="M233" s="1264" t="e">
        <f>IF(M232&lt;0,"N",IF(M232&lt;Stammdaten!$P$39,"L",IF(M232&gt;Stammdaten!$P$39,"J",)))</f>
        <v>#REF!</v>
      </c>
      <c r="N233" s="1264"/>
      <c r="O233" s="1264" t="e">
        <f>IF(O232&lt;0,"N",IF(O232&lt;Stammdaten!$P$39,"L",IF(O232&gt;Stammdaten!$P$39,"J",)))</f>
        <v>#REF!</v>
      </c>
      <c r="P233" s="1264"/>
      <c r="R233" s="1193"/>
    </row>
    <row r="234" spans="3:18" ht="44.25" hidden="1" x14ac:dyDescent="0.2">
      <c r="C234" s="1217"/>
      <c r="D234" s="1218"/>
      <c r="E234" s="1218"/>
      <c r="F234" s="1218"/>
      <c r="G234" s="1218"/>
      <c r="H234" s="1218"/>
      <c r="I234" s="1219"/>
      <c r="J234" s="1220"/>
      <c r="K234" s="1265" t="e">
        <f>IF(K232&lt;0,"U",IF(K232&lt;Stammdaten!$P$39,"F",IF(K232&gt;Stammdaten!$P$39,"J",)))</f>
        <v>#REF!</v>
      </c>
      <c r="L234" s="1265"/>
      <c r="M234" s="1265" t="e">
        <f>IF(M232&lt;0,"U",IF(M232&lt;Stammdaten!$P$39,"F",IF(M232&gt;Stammdaten!$P$39,"J",)))</f>
        <v>#REF!</v>
      </c>
      <c r="N234" s="1265"/>
      <c r="O234" s="1265" t="e">
        <f>IF(O232&lt;0,"U",IF(O232&lt;Stammdaten!$P$39,"F",IF(O232&gt;Stammdaten!$P$39,"J",)))</f>
        <v>#REF!</v>
      </c>
      <c r="P234" s="1265"/>
      <c r="R234" s="1193"/>
    </row>
    <row r="235" spans="3:18" hidden="1" x14ac:dyDescent="0.2">
      <c r="R235" s="1193"/>
    </row>
    <row r="236" spans="3:18" hidden="1" x14ac:dyDescent="0.2"/>
    <row r="237" spans="3:18" hidden="1" x14ac:dyDescent="0.2"/>
    <row r="238" spans="3:18" hidden="1" x14ac:dyDescent="0.2">
      <c r="E238" s="3" t="s">
        <v>768</v>
      </c>
    </row>
    <row r="239" spans="3:18" hidden="1" x14ac:dyDescent="0.2"/>
    <row r="240" spans="3:18" hidden="1" x14ac:dyDescent="0.2">
      <c r="I240" s="84" t="s">
        <v>776</v>
      </c>
    </row>
    <row r="241" spans="5:11" hidden="1" x14ac:dyDescent="0.2"/>
    <row r="242" spans="5:11" hidden="1" x14ac:dyDescent="0.2">
      <c r="E242" s="3" t="s">
        <v>103</v>
      </c>
      <c r="I242" s="84">
        <v>39.97</v>
      </c>
    </row>
    <row r="243" spans="5:11" hidden="1" x14ac:dyDescent="0.2">
      <c r="E243" s="3" t="s">
        <v>769</v>
      </c>
      <c r="I243" s="84">
        <v>20.440000000000001</v>
      </c>
    </row>
    <row r="244" spans="5:11" hidden="1" x14ac:dyDescent="0.2">
      <c r="E244" s="3" t="s">
        <v>770</v>
      </c>
      <c r="I244" s="84">
        <v>18.53</v>
      </c>
    </row>
    <row r="245" spans="5:11" hidden="1" x14ac:dyDescent="0.2">
      <c r="E245" s="3" t="s">
        <v>772</v>
      </c>
      <c r="I245" s="84">
        <v>12.45</v>
      </c>
    </row>
    <row r="246" spans="5:11" hidden="1" x14ac:dyDescent="0.2">
      <c r="E246" s="3" t="s">
        <v>773</v>
      </c>
      <c r="I246" s="84">
        <v>4.87</v>
      </c>
      <c r="K246" s="1192" t="s">
        <v>777</v>
      </c>
    </row>
    <row r="247" spans="5:11" hidden="1" x14ac:dyDescent="0.2">
      <c r="E247" s="3" t="s">
        <v>774</v>
      </c>
      <c r="I247" s="84">
        <v>2.48</v>
      </c>
    </row>
    <row r="248" spans="5:11" hidden="1" x14ac:dyDescent="0.2">
      <c r="E248" s="3" t="s">
        <v>775</v>
      </c>
      <c r="I248" s="84">
        <v>1.75</v>
      </c>
    </row>
    <row r="249" spans="5:11" hidden="1" x14ac:dyDescent="0.2"/>
    <row r="250" spans="5:11" hidden="1" x14ac:dyDescent="0.2"/>
  </sheetData>
  <sheetProtection sheet="1" objects="1" scenarios="1"/>
  <mergeCells count="17">
    <mergeCell ref="AB29:AC29"/>
    <mergeCell ref="B26:B30"/>
    <mergeCell ref="B17:B23"/>
    <mergeCell ref="M8:N8"/>
    <mergeCell ref="X29:Y29"/>
    <mergeCell ref="O8:P8"/>
    <mergeCell ref="B10:B14"/>
    <mergeCell ref="Z29:AA29"/>
    <mergeCell ref="B46:B69"/>
    <mergeCell ref="K6:L6"/>
    <mergeCell ref="K8:L8"/>
    <mergeCell ref="M6:N6"/>
    <mergeCell ref="O6:P6"/>
    <mergeCell ref="K7:L7"/>
    <mergeCell ref="M7:N7"/>
    <mergeCell ref="O7:P7"/>
    <mergeCell ref="B34:B41"/>
  </mergeCells>
  <phoneticPr fontId="0" type="noConversion"/>
  <conditionalFormatting sqref="K233:O234">
    <cfRule type="expression" dxfId="0" priority="5" stopIfTrue="1">
      <formula>K232&lt;0</formula>
    </cfRule>
  </conditionalFormatting>
  <hyperlinks>
    <hyperlink ref="E198" location="D51" display="L"/>
  </hyperlinks>
  <printOptions horizontalCentered="1"/>
  <pageMargins left="0.39370078740157483" right="0.39370078740157483" top="0.47244094488188981" bottom="0.74803149606299213" header="0.19685039370078741" footer="0.35433070866141736"/>
  <pageSetup paperSize="9" scale="62" firstPageNumber="31" orientation="portrait" useFirstPageNumber="1" r:id="rId1"/>
  <headerFooter alignWithMargins="0">
    <oddFooter>&amp;LLEL Schwäb. Gmünd;
&amp;D&amp;C&amp;"Arial,Fett"&amp;12&amp;P&amp;RKalkulationsdaten Milchviehhaltung;
&amp;F  &amp;A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0"/>
    <pageSetUpPr fitToPage="1"/>
  </sheetPr>
  <dimension ref="A1:N27"/>
  <sheetViews>
    <sheetView showGridLines="0" tabSelected="1" zoomScale="70" zoomScaleNormal="70" workbookViewId="0">
      <selection activeCell="N1" sqref="N1"/>
    </sheetView>
  </sheetViews>
  <sheetFormatPr baseColWidth="10" defaultRowHeight="12.75" x14ac:dyDescent="0.2"/>
  <cols>
    <col min="1" max="1" width="1.5703125" customWidth="1"/>
    <col min="2" max="2" width="1.42578125" customWidth="1"/>
    <col min="3" max="3" width="10.85546875" customWidth="1"/>
    <col min="4" max="4" width="19.140625" customWidth="1"/>
    <col min="5" max="5" width="16.85546875" customWidth="1"/>
    <col min="8" max="8" width="12.7109375" customWidth="1"/>
    <col min="9" max="9" width="13.140625" customWidth="1"/>
    <col min="11" max="11" width="13.140625" customWidth="1"/>
    <col min="12" max="12" width="3.7109375" customWidth="1"/>
    <col min="13" max="13" width="2.28515625" customWidth="1"/>
  </cols>
  <sheetData>
    <row r="1" spans="1:14" x14ac:dyDescent="0.2">
      <c r="A1" s="2503"/>
      <c r="B1" s="2503"/>
      <c r="C1" s="2503"/>
      <c r="D1" s="2503"/>
      <c r="E1" s="2503"/>
      <c r="F1" s="2503"/>
      <c r="G1" s="2503"/>
      <c r="H1" s="2503"/>
      <c r="I1" s="2503"/>
      <c r="J1" s="2503"/>
      <c r="K1" s="2503"/>
      <c r="L1" s="2503"/>
      <c r="M1" s="2503"/>
    </row>
    <row r="2" spans="1:14" ht="91.5" customHeight="1" thickBot="1" x14ac:dyDescent="0.25">
      <c r="A2" s="2503"/>
      <c r="B2" s="2638"/>
      <c r="L2" s="2638"/>
      <c r="M2" s="2503"/>
    </row>
    <row r="3" spans="1:14" ht="30.75" customHeight="1" x14ac:dyDescent="0.3">
      <c r="A3" s="2503"/>
      <c r="B3" s="2638"/>
      <c r="C3" s="31"/>
      <c r="D3" s="32"/>
      <c r="E3" s="32"/>
      <c r="F3" s="32"/>
      <c r="G3" s="32"/>
      <c r="H3" s="33"/>
      <c r="I3" s="32"/>
      <c r="J3" s="33"/>
      <c r="K3" s="34"/>
      <c r="L3" s="2638"/>
      <c r="M3" s="2503"/>
      <c r="N3" s="3150"/>
    </row>
    <row r="4" spans="1:14" s="14" customFormat="1" ht="63" customHeight="1" x14ac:dyDescent="0.3">
      <c r="A4" s="2503"/>
      <c r="B4" s="2638"/>
      <c r="C4" s="977" t="s">
        <v>859</v>
      </c>
      <c r="D4" s="966"/>
      <c r="E4" s="967"/>
      <c r="F4" s="968"/>
      <c r="G4" s="968"/>
      <c r="H4" s="968"/>
      <c r="I4" s="968"/>
      <c r="J4" s="969"/>
      <c r="K4" s="970"/>
      <c r="L4" s="2638"/>
      <c r="M4" s="2503"/>
      <c r="N4" s="3150"/>
    </row>
    <row r="5" spans="1:14" s="14" customFormat="1" ht="42" customHeight="1" x14ac:dyDescent="0.2">
      <c r="A5" s="2503"/>
      <c r="B5" s="2638"/>
      <c r="C5" s="977" t="s">
        <v>599</v>
      </c>
      <c r="D5" s="978"/>
      <c r="E5" s="967"/>
      <c r="F5" s="968"/>
      <c r="G5" s="968"/>
      <c r="H5" s="968"/>
      <c r="I5" s="968"/>
      <c r="J5" s="969"/>
      <c r="K5" s="970"/>
      <c r="L5" s="2638"/>
      <c r="M5" s="2503"/>
    </row>
    <row r="6" spans="1:14" s="14" customFormat="1" ht="69" customHeight="1" x14ac:dyDescent="0.2">
      <c r="A6" s="2503"/>
      <c r="B6" s="2638"/>
      <c r="C6" s="977">
        <v>2021</v>
      </c>
      <c r="D6" s="978"/>
      <c r="E6" s="967"/>
      <c r="F6" s="968"/>
      <c r="G6" s="968"/>
      <c r="H6" s="968"/>
      <c r="I6" s="968"/>
      <c r="J6" s="969"/>
      <c r="K6" s="970"/>
      <c r="L6" s="2638"/>
      <c r="M6" s="2503"/>
    </row>
    <row r="7" spans="1:14" s="14" customFormat="1" ht="57.75" customHeight="1" x14ac:dyDescent="0.2">
      <c r="A7" s="2503"/>
      <c r="B7" s="2638"/>
      <c r="C7" s="965" t="s">
        <v>860</v>
      </c>
      <c r="D7" s="966"/>
      <c r="E7" s="967"/>
      <c r="F7" s="968"/>
      <c r="G7" s="968"/>
      <c r="H7" s="968"/>
      <c r="I7" s="968"/>
      <c r="J7" s="969"/>
      <c r="K7" s="970"/>
      <c r="L7" s="2638"/>
      <c r="M7" s="2503"/>
    </row>
    <row r="8" spans="1:14" s="14" customFormat="1" ht="38.25" customHeight="1" x14ac:dyDescent="0.2">
      <c r="A8" s="2503"/>
      <c r="B8" s="2638"/>
      <c r="C8" s="965" t="s">
        <v>861</v>
      </c>
      <c r="D8" s="966"/>
      <c r="E8" s="967"/>
      <c r="F8" s="968"/>
      <c r="G8" s="968"/>
      <c r="H8" s="968"/>
      <c r="I8" s="968"/>
      <c r="J8" s="969"/>
      <c r="K8" s="970"/>
      <c r="L8" s="2638"/>
      <c r="M8" s="2503"/>
    </row>
    <row r="9" spans="1:14" s="14" customFormat="1" ht="56.25" customHeight="1" thickBot="1" x14ac:dyDescent="0.25">
      <c r="A9" s="2503"/>
      <c r="B9" s="2638"/>
      <c r="C9" s="971" t="s">
        <v>862</v>
      </c>
      <c r="D9" s="972"/>
      <c r="E9" s="973"/>
      <c r="F9" s="974"/>
      <c r="G9" s="974"/>
      <c r="H9" s="974"/>
      <c r="I9" s="974"/>
      <c r="J9" s="975"/>
      <c r="K9" s="976"/>
      <c r="L9" s="2638"/>
      <c r="M9" s="2503"/>
    </row>
    <row r="10" spans="1:14" s="14" customFormat="1" ht="357" customHeight="1" x14ac:dyDescent="0.2">
      <c r="A10" s="2503"/>
      <c r="B10" s="2638"/>
      <c r="C10" s="41"/>
      <c r="D10" s="44"/>
      <c r="E10" s="45"/>
      <c r="F10" s="46"/>
      <c r="G10" s="46"/>
      <c r="H10" s="46"/>
      <c r="I10" s="46"/>
      <c r="J10" s="47"/>
      <c r="K10" s="48"/>
      <c r="L10" s="2638"/>
      <c r="M10" s="2503"/>
    </row>
    <row r="11" spans="1:14" s="14" customFormat="1" ht="26.45" customHeight="1" x14ac:dyDescent="0.35">
      <c r="A11" s="2503"/>
      <c r="B11" s="2638"/>
      <c r="C11" s="593" t="s">
        <v>863</v>
      </c>
      <c r="D11"/>
      <c r="E11" s="45"/>
      <c r="F11" s="46"/>
      <c r="G11" s="46"/>
      <c r="H11" s="46"/>
      <c r="I11" s="46"/>
      <c r="J11" s="47"/>
      <c r="K11" s="48"/>
      <c r="L11" s="2638"/>
      <c r="M11" s="2503"/>
    </row>
    <row r="12" spans="1:14" s="14" customFormat="1" ht="22.7" customHeight="1" x14ac:dyDescent="0.2">
      <c r="A12" s="2503"/>
      <c r="B12" s="2638"/>
      <c r="C12" s="63" t="s">
        <v>864</v>
      </c>
      <c r="D12"/>
      <c r="E12" s="45"/>
      <c r="F12" s="46"/>
      <c r="G12" s="46"/>
      <c r="H12" s="46"/>
      <c r="I12" s="46"/>
      <c r="J12" s="47"/>
      <c r="K12" s="48"/>
      <c r="L12" s="2638"/>
      <c r="M12" s="2503"/>
    </row>
    <row r="13" spans="1:14" s="14" customFormat="1" ht="22.7" customHeight="1" x14ac:dyDescent="0.2">
      <c r="A13" s="2503"/>
      <c r="B13" s="2638"/>
      <c r="C13" s="63" t="s">
        <v>867</v>
      </c>
      <c r="D13"/>
      <c r="E13" s="45"/>
      <c r="F13" s="46"/>
      <c r="G13" s="46"/>
      <c r="H13" s="46"/>
      <c r="I13"/>
      <c r="J13" s="47"/>
      <c r="K13" s="48"/>
      <c r="L13" s="2638"/>
      <c r="M13" s="2503"/>
    </row>
    <row r="14" spans="1:14" s="14" customFormat="1" ht="35.1" customHeight="1" x14ac:dyDescent="0.2">
      <c r="A14" s="2503"/>
      <c r="B14" s="2638"/>
      <c r="C14" s="63" t="s">
        <v>1296</v>
      </c>
      <c r="D14"/>
      <c r="E14" s="45"/>
      <c r="F14" s="46"/>
      <c r="G14" s="46"/>
      <c r="H14" s="46"/>
      <c r="I14" s="46"/>
      <c r="J14" s="47"/>
      <c r="K14" s="48"/>
      <c r="L14" s="2638"/>
      <c r="M14" s="2503"/>
    </row>
    <row r="15" spans="1:14" s="14" customFormat="1" ht="22.7" customHeight="1" x14ac:dyDescent="0.2">
      <c r="A15" s="2503"/>
      <c r="B15" s="2638"/>
      <c r="C15" s="63"/>
      <c r="D15"/>
      <c r="E15" s="63"/>
      <c r="F15" s="46"/>
      <c r="G15" s="46"/>
      <c r="H15" s="46"/>
      <c r="I15" s="46"/>
      <c r="J15" s="47"/>
      <c r="K15" s="48"/>
      <c r="L15" s="2638"/>
      <c r="M15" s="2503"/>
    </row>
    <row r="16" spans="1:14" s="14" customFormat="1" ht="82.15" customHeight="1" x14ac:dyDescent="0.2">
      <c r="A16" s="2503"/>
      <c r="B16" s="2638"/>
      <c r="C16" s="63"/>
      <c r="D16"/>
      <c r="E16" s="45"/>
      <c r="F16" s="46"/>
      <c r="G16" s="46"/>
      <c r="H16" s="46"/>
      <c r="I16" s="46"/>
      <c r="J16" s="47"/>
      <c r="K16" s="48"/>
      <c r="L16" s="2638"/>
      <c r="M16" s="2503"/>
    </row>
    <row r="17" spans="1:13" s="14" customFormat="1" ht="31.35" customHeight="1" x14ac:dyDescent="0.2">
      <c r="A17" s="2503"/>
      <c r="B17" s="2638"/>
      <c r="C17" s="63" t="s">
        <v>875</v>
      </c>
      <c r="D17" s="49"/>
      <c r="E17" s="63"/>
      <c r="F17" s="46"/>
      <c r="G17" s="46"/>
      <c r="H17" s="3063"/>
      <c r="J17" s="47"/>
      <c r="K17" s="48"/>
      <c r="L17" s="2638"/>
      <c r="M17" s="2503"/>
    </row>
    <row r="18" spans="1:13" s="14" customFormat="1" ht="31.35" customHeight="1" x14ac:dyDescent="0.2">
      <c r="A18" s="2503"/>
      <c r="B18" s="2638"/>
      <c r="C18" s="63"/>
      <c r="D18" s="49"/>
      <c r="E18" s="63" t="s">
        <v>1294</v>
      </c>
      <c r="F18" s="46"/>
      <c r="G18" s="46"/>
      <c r="H18" s="3063" t="s">
        <v>1295</v>
      </c>
      <c r="J18" s="47"/>
      <c r="K18" s="48"/>
      <c r="L18" s="2638"/>
      <c r="M18" s="2503"/>
    </row>
    <row r="19" spans="1:13" s="14" customFormat="1" ht="31.35" customHeight="1" x14ac:dyDescent="0.2">
      <c r="A19" s="2503"/>
      <c r="B19" s="2638"/>
      <c r="C19" s="63"/>
      <c r="D19" s="49"/>
      <c r="E19" s="63"/>
      <c r="F19" s="46"/>
      <c r="G19" s="46"/>
      <c r="H19" s="3063"/>
      <c r="J19" s="47"/>
      <c r="K19" s="48"/>
      <c r="L19" s="2638"/>
      <c r="M19" s="2503"/>
    </row>
    <row r="20" spans="1:13" s="14" customFormat="1" ht="3.6" customHeight="1" x14ac:dyDescent="0.2">
      <c r="A20" s="2503"/>
      <c r="B20" s="2638"/>
      <c r="C20" s="63"/>
      <c r="D20" s="49"/>
      <c r="E20" s="63"/>
      <c r="F20" s="46"/>
      <c r="G20" s="46"/>
      <c r="H20" s="63"/>
      <c r="J20" s="47"/>
      <c r="K20" s="48"/>
      <c r="L20" s="2638"/>
      <c r="M20" s="2503"/>
    </row>
    <row r="21" spans="1:13" s="14" customFormat="1" ht="10.9" customHeight="1" x14ac:dyDescent="0.2">
      <c r="A21" s="2503"/>
      <c r="B21" s="2638"/>
      <c r="C21" s="63"/>
      <c r="D21" s="49"/>
      <c r="E21" s="63"/>
      <c r="F21" s="46"/>
      <c r="G21" s="46"/>
      <c r="H21" s="63"/>
      <c r="J21" s="47"/>
      <c r="K21" s="48"/>
      <c r="L21" s="2638"/>
      <c r="M21" s="2503"/>
    </row>
    <row r="22" spans="1:13" s="61" customFormat="1" ht="24.6" customHeight="1" x14ac:dyDescent="0.2">
      <c r="A22" s="2503"/>
      <c r="B22" s="2638"/>
      <c r="C22" s="63" t="s">
        <v>876</v>
      </c>
      <c r="E22" s="683">
        <v>44531</v>
      </c>
      <c r="F22" s="58"/>
      <c r="G22" s="58"/>
      <c r="H22" s="58"/>
      <c r="I22" s="58"/>
      <c r="J22" s="59"/>
      <c r="K22" s="60"/>
      <c r="L22" s="2638"/>
      <c r="M22" s="2503"/>
    </row>
    <row r="23" spans="1:13" s="14" customFormat="1" ht="57.75" customHeight="1" x14ac:dyDescent="0.2">
      <c r="A23" s="2503"/>
      <c r="B23" s="2638"/>
      <c r="C23" s="62"/>
      <c r="D23" s="45"/>
      <c r="E23" s="63"/>
      <c r="F23" s="50"/>
      <c r="G23" s="50"/>
      <c r="H23" s="50"/>
      <c r="I23" s="50"/>
      <c r="J23" s="51"/>
      <c r="K23" s="50"/>
      <c r="L23" s="2638"/>
      <c r="M23" s="2503"/>
    </row>
    <row r="24" spans="1:13" s="14" customFormat="1" ht="21.75" customHeight="1" x14ac:dyDescent="0.2">
      <c r="A24" s="2503"/>
      <c r="B24" s="2638"/>
      <c r="C24" s="3104" t="s">
        <v>877</v>
      </c>
      <c r="D24"/>
      <c r="E24" s="53"/>
      <c r="F24" s="46"/>
      <c r="G24" s="46"/>
      <c r="H24" s="46"/>
      <c r="I24" s="46"/>
      <c r="J24" s="54"/>
      <c r="K24" s="46"/>
      <c r="L24" s="2638"/>
      <c r="M24" s="2503"/>
    </row>
    <row r="25" spans="1:13" s="14" customFormat="1" ht="21.75" customHeight="1" x14ac:dyDescent="0.2">
      <c r="A25" s="2503"/>
      <c r="B25" s="2638"/>
      <c r="C25" s="3104" t="s">
        <v>878</v>
      </c>
      <c r="D25"/>
      <c r="E25" s="53"/>
      <c r="F25" s="46"/>
      <c r="G25" s="46"/>
      <c r="H25" s="46"/>
      <c r="I25" s="46"/>
      <c r="J25" s="54"/>
      <c r="K25" s="46"/>
      <c r="L25" s="2638"/>
      <c r="M25" s="2503"/>
    </row>
    <row r="26" spans="1:13" s="14" customFormat="1" ht="21.75" customHeight="1" x14ac:dyDescent="0.2">
      <c r="A26" s="2503"/>
      <c r="B26" s="2638"/>
      <c r="C26" s="3104" t="s">
        <v>745</v>
      </c>
      <c r="D26" s="52"/>
      <c r="E26" s="55"/>
      <c r="F26" s="56"/>
      <c r="G26" s="57"/>
      <c r="H26" s="57"/>
      <c r="I26" s="57"/>
      <c r="J26" s="54"/>
      <c r="K26" s="57"/>
      <c r="L26" s="2638"/>
      <c r="M26" s="2503"/>
    </row>
    <row r="27" spans="1:13" ht="15.75" customHeight="1" x14ac:dyDescent="0.2">
      <c r="A27" s="2503"/>
      <c r="B27" s="2503"/>
      <c r="C27" s="2503"/>
      <c r="D27" s="2503"/>
      <c r="E27" s="2503"/>
      <c r="F27" s="2503"/>
      <c r="G27" s="2503"/>
      <c r="H27" s="2503"/>
      <c r="I27" s="2503"/>
      <c r="J27" s="2503"/>
      <c r="K27" s="2503"/>
      <c r="L27" s="2503"/>
      <c r="M27" s="2503"/>
    </row>
  </sheetData>
  <sheetProtection sheet="1" objects="1" scenarios="1"/>
  <phoneticPr fontId="0" type="noConversion"/>
  <printOptions horizontalCentered="1" verticalCentered="1"/>
  <pageMargins left="0.31496062992125984" right="0.31496062992125984" top="0.78740157480314965" bottom="0.78740157480314965" header="0.31496062992125984" footer="0.31496062992125984"/>
  <pageSetup paperSize="9" scale="5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sheetPr>
  <dimension ref="A1:U145"/>
  <sheetViews>
    <sheetView showGridLines="0" zoomScaleNormal="100" workbookViewId="0">
      <pane xSplit="2" ySplit="1" topLeftCell="C69" activePane="bottomRight" state="frozen"/>
      <selection activeCell="M79" sqref="M79"/>
      <selection pane="topRight" activeCell="M79" sqref="M79"/>
      <selection pane="bottomLeft" activeCell="M79" sqref="M79"/>
      <selection pane="bottomRight" activeCell="I3" sqref="I3"/>
    </sheetView>
  </sheetViews>
  <sheetFormatPr baseColWidth="10" defaultColWidth="6.28515625" defaultRowHeight="23.25" x14ac:dyDescent="0.2"/>
  <cols>
    <col min="1" max="1" width="2.85546875" style="301" customWidth="1"/>
    <col min="2" max="2" width="1.7109375" style="301" customWidth="1"/>
    <col min="3" max="4" width="6.28515625" style="301" customWidth="1"/>
    <col min="5" max="5" width="11.140625" style="301" customWidth="1"/>
    <col min="6" max="6" width="3.85546875" style="301" customWidth="1"/>
    <col min="7" max="7" width="4" style="301" customWidth="1"/>
    <col min="8" max="11" width="6.28515625" style="301" customWidth="1"/>
    <col min="12" max="12" width="6.140625" style="301" customWidth="1"/>
    <col min="13" max="13" width="7" style="301" customWidth="1"/>
    <col min="14" max="14" width="2.28515625" style="301" customWidth="1"/>
    <col min="15" max="15" width="6.28515625" style="301" customWidth="1"/>
    <col min="16" max="16" width="8.7109375" style="301" customWidth="1"/>
    <col min="17" max="19" width="13.7109375" style="301" customWidth="1"/>
    <col min="20" max="20" width="1.42578125" style="301" customWidth="1"/>
    <col min="21" max="21" width="2.42578125" style="301" customWidth="1"/>
    <col min="22" max="16384" width="6.28515625" style="301"/>
  </cols>
  <sheetData>
    <row r="1" spans="1:21" ht="22.15" customHeight="1" x14ac:dyDescent="0.2">
      <c r="A1" s="2503"/>
      <c r="B1" s="2503"/>
      <c r="C1" s="2503"/>
      <c r="D1" s="2503"/>
      <c r="E1" s="2503"/>
      <c r="F1" s="2503"/>
      <c r="G1" s="2503"/>
      <c r="H1" s="2503"/>
      <c r="I1" s="2503"/>
      <c r="J1" s="2503"/>
      <c r="K1" s="2503"/>
      <c r="L1" s="2503"/>
      <c r="M1" s="2503"/>
      <c r="N1" s="2503"/>
      <c r="O1" s="2503"/>
      <c r="P1" s="2503"/>
      <c r="Q1" s="2503"/>
      <c r="R1" s="2503"/>
      <c r="S1" s="2503"/>
      <c r="T1" s="2503"/>
      <c r="U1" s="2503"/>
    </row>
    <row r="2" spans="1:21" ht="5.25" customHeight="1" x14ac:dyDescent="0.2">
      <c r="A2" s="2503"/>
      <c r="U2" s="2503"/>
    </row>
    <row r="3" spans="1:21" ht="30.2" customHeight="1" x14ac:dyDescent="0.2">
      <c r="A3" s="2503"/>
      <c r="B3" s="3075"/>
      <c r="C3" s="3076" t="s">
        <v>94</v>
      </c>
      <c r="D3" s="3076" t="s">
        <v>57</v>
      </c>
      <c r="E3" s="3077"/>
      <c r="F3" s="3077"/>
      <c r="G3" s="3077"/>
      <c r="H3" s="3077"/>
      <c r="I3" s="3077"/>
      <c r="J3" s="3077"/>
      <c r="K3" s="3077"/>
      <c r="L3" s="3077"/>
      <c r="M3" s="3077"/>
      <c r="N3" s="3077"/>
      <c r="O3" s="3077"/>
      <c r="P3" s="3077"/>
      <c r="Q3" s="3078"/>
      <c r="R3" s="3079"/>
      <c r="S3" s="3080" t="str">
        <f>'BrV(b)'!P2</f>
        <v>Milchkuh; Braunvieh</v>
      </c>
      <c r="T3" s="3807"/>
      <c r="U3" s="2503"/>
    </row>
    <row r="4" spans="1:21" x14ac:dyDescent="0.2">
      <c r="A4" s="2503"/>
      <c r="B4" s="3081"/>
      <c r="C4" s="3082" t="s">
        <v>95</v>
      </c>
      <c r="D4" s="3082" t="s">
        <v>96</v>
      </c>
      <c r="E4" s="3083"/>
      <c r="F4" s="3083"/>
      <c r="G4" s="3083"/>
      <c r="H4" s="3083"/>
      <c r="I4" s="3083"/>
      <c r="J4" s="3083"/>
      <c r="K4" s="3083"/>
      <c r="L4" s="3083"/>
      <c r="M4" s="3083"/>
      <c r="N4" s="3083"/>
      <c r="O4" s="3083"/>
      <c r="P4" s="3083"/>
      <c r="Q4" s="3084" t="s">
        <v>97</v>
      </c>
      <c r="R4" s="3085"/>
      <c r="S4" s="3086">
        <f>'BrV(b)'!P4</f>
        <v>2022</v>
      </c>
      <c r="T4" s="3808"/>
      <c r="U4" s="2503"/>
    </row>
    <row r="5" spans="1:21" s="4" customFormat="1" ht="12.2" customHeight="1" x14ac:dyDescent="0.2">
      <c r="A5" s="2503"/>
      <c r="B5" s="323"/>
      <c r="C5" s="20"/>
      <c r="D5" s="20"/>
      <c r="E5" s="20"/>
      <c r="F5" s="20"/>
      <c r="G5" s="20"/>
      <c r="H5" s="20"/>
      <c r="I5" s="20"/>
      <c r="J5" s="20"/>
      <c r="K5" s="20"/>
      <c r="L5" s="20"/>
      <c r="M5" s="20"/>
      <c r="N5" s="20"/>
      <c r="O5" s="20"/>
      <c r="P5" s="20"/>
      <c r="Q5" s="20"/>
      <c r="R5" s="20"/>
      <c r="S5" s="20"/>
      <c r="T5" s="309"/>
      <c r="U5" s="2503"/>
    </row>
    <row r="6" spans="1:21" ht="30.2" customHeight="1" x14ac:dyDescent="0.2">
      <c r="A6" s="2503"/>
      <c r="B6" s="898"/>
      <c r="C6" s="899" t="s">
        <v>1077</v>
      </c>
      <c r="D6" s="900"/>
      <c r="E6" s="900"/>
      <c r="F6" s="900"/>
      <c r="G6" s="900"/>
      <c r="H6" s="900"/>
      <c r="I6" s="900"/>
      <c r="J6" s="900"/>
      <c r="K6" s="900"/>
      <c r="L6" s="900"/>
      <c r="M6" s="900"/>
      <c r="N6" s="900"/>
      <c r="O6" s="901" t="s">
        <v>98</v>
      </c>
      <c r="P6" s="902"/>
      <c r="Q6" s="903">
        <f>'BrV(b)'!K7</f>
        <v>6500</v>
      </c>
      <c r="R6" s="903">
        <f>'BrV(b)'!M7</f>
        <v>7500</v>
      </c>
      <c r="S6" s="903">
        <f>'BrV(b)'!O7</f>
        <v>8500</v>
      </c>
      <c r="T6" s="902"/>
      <c r="U6" s="2503"/>
    </row>
    <row r="7" spans="1:21" ht="30.2" customHeight="1" x14ac:dyDescent="0.2">
      <c r="A7" s="2503"/>
      <c r="B7" s="904"/>
      <c r="C7" s="905" t="str">
        <f>IF(Stammdaten!S7=1,"Milchpreis (ohne Mwst.)","Milchpreis  (inkl. Mwst. )")</f>
        <v>Milchpreis  (inkl. Mwst. )</v>
      </c>
      <c r="D7" s="906"/>
      <c r="E7" s="906"/>
      <c r="F7" s="906"/>
      <c r="G7" s="906"/>
      <c r="H7" s="906"/>
      <c r="I7" s="906"/>
      <c r="J7" s="906"/>
      <c r="K7" s="906"/>
      <c r="L7" s="906"/>
      <c r="M7" s="906"/>
      <c r="N7" s="906"/>
      <c r="O7" s="904" t="s">
        <v>99</v>
      </c>
      <c r="P7" s="907"/>
      <c r="Q7" s="912">
        <f>'BrV(b)'!K8</f>
        <v>0.46208999999999995</v>
      </c>
      <c r="R7" s="912">
        <f>'BrV(b)'!M8</f>
        <v>0.46208999999999995</v>
      </c>
      <c r="S7" s="912">
        <f>'BrV(b)'!O8</f>
        <v>0.46208999999999995</v>
      </c>
      <c r="T7" s="907"/>
      <c r="U7" s="2503"/>
    </row>
    <row r="8" spans="1:21" ht="15" customHeight="1" x14ac:dyDescent="0.2">
      <c r="A8" s="2503"/>
      <c r="B8" s="315"/>
      <c r="C8" s="331"/>
      <c r="D8" s="331"/>
      <c r="E8" s="331"/>
      <c r="F8" s="331"/>
      <c r="G8" s="331"/>
      <c r="H8" s="331"/>
      <c r="I8" s="331"/>
      <c r="J8" s="331"/>
      <c r="K8" s="331"/>
      <c r="L8" s="331"/>
      <c r="M8" s="331"/>
      <c r="N8" s="331"/>
      <c r="O8" s="315"/>
      <c r="P8" s="317"/>
      <c r="Q8" s="331"/>
      <c r="R8" s="331"/>
      <c r="S8" s="331"/>
      <c r="T8" s="336"/>
      <c r="U8" s="2503"/>
    </row>
    <row r="9" spans="1:21" ht="30.2" customHeight="1" x14ac:dyDescent="0.2">
      <c r="A9" s="2503"/>
      <c r="B9" s="302"/>
      <c r="C9" s="303" t="s">
        <v>100</v>
      </c>
      <c r="D9" s="303"/>
      <c r="E9" s="303"/>
      <c r="F9" s="303"/>
      <c r="G9" s="303"/>
      <c r="H9" s="303"/>
      <c r="I9" s="303"/>
      <c r="J9" s="303"/>
      <c r="K9" s="303"/>
      <c r="L9" s="303"/>
      <c r="M9" s="303"/>
      <c r="N9" s="303"/>
      <c r="O9" s="302" t="s">
        <v>101</v>
      </c>
      <c r="P9" s="304"/>
      <c r="Q9" s="332">
        <f>'BrV(b)'!K10</f>
        <v>3003.5849999999996</v>
      </c>
      <c r="R9" s="332">
        <f>'BrV(b)'!M10</f>
        <v>3465.6749999999997</v>
      </c>
      <c r="S9" s="332">
        <f>'BrV(b)'!O10</f>
        <v>3927.7649999999994</v>
      </c>
      <c r="T9" s="300"/>
      <c r="U9" s="2503"/>
    </row>
    <row r="10" spans="1:21" ht="30.2" customHeight="1" x14ac:dyDescent="0.2">
      <c r="A10" s="2503"/>
      <c r="B10" s="302"/>
      <c r="C10" s="303" t="s">
        <v>102</v>
      </c>
      <c r="D10" s="303"/>
      <c r="E10" s="303"/>
      <c r="F10" s="303"/>
      <c r="G10" s="303"/>
      <c r="H10" s="303"/>
      <c r="I10" s="303"/>
      <c r="J10" s="303"/>
      <c r="K10" s="303"/>
      <c r="L10" s="303"/>
      <c r="M10" s="303"/>
      <c r="N10" s="303"/>
      <c r="O10" s="302"/>
      <c r="P10" s="304"/>
      <c r="Q10" s="332">
        <f>'BrV(b)'!K11+'BrV(b)'!K12+'BrV(b)'!K13+'BrV(b)'!K27</f>
        <v>969.03539166666656</v>
      </c>
      <c r="R10" s="332">
        <f>'BrV(b)'!M11+'BrV(b)'!M12+'BrV(b)'!M13+'BrV(b)'!M27</f>
        <v>976.32513333333327</v>
      </c>
      <c r="S10" s="332">
        <f>'BrV(b)'!O11+'BrV(b)'!O12+'BrV(b)'!O13+'BrV(b)'!O27</f>
        <v>983.61487499999987</v>
      </c>
      <c r="T10" s="300"/>
      <c r="U10" s="2503"/>
    </row>
    <row r="11" spans="1:21" ht="36" customHeight="1" x14ac:dyDescent="0.2">
      <c r="A11" s="2503"/>
      <c r="B11" s="316"/>
      <c r="C11" s="313" t="s">
        <v>103</v>
      </c>
      <c r="D11" s="306"/>
      <c r="E11" s="306"/>
      <c r="F11" s="306"/>
      <c r="G11" s="306"/>
      <c r="H11" s="306"/>
      <c r="I11" s="306"/>
      <c r="J11" s="306"/>
      <c r="K11" s="306"/>
      <c r="L11" s="306"/>
      <c r="M11" s="306"/>
      <c r="N11" s="306"/>
      <c r="O11" s="316"/>
      <c r="P11" s="320"/>
      <c r="Q11" s="335">
        <f>Q9+Q10</f>
        <v>3972.6203916666664</v>
      </c>
      <c r="R11" s="335">
        <f>R9+R10</f>
        <v>4442.000133333333</v>
      </c>
      <c r="S11" s="335">
        <f>S9+S10</f>
        <v>4911.3798749999996</v>
      </c>
      <c r="T11" s="25"/>
      <c r="U11" s="2503"/>
    </row>
    <row r="12" spans="1:21" ht="30.2" customHeight="1" x14ac:dyDescent="0.2">
      <c r="A12" s="2503"/>
      <c r="B12" s="302"/>
      <c r="C12" s="303" t="s">
        <v>1086</v>
      </c>
      <c r="D12" s="303"/>
      <c r="E12" s="303"/>
      <c r="F12" s="303"/>
      <c r="G12" s="303"/>
      <c r="H12" s="303"/>
      <c r="I12" s="303"/>
      <c r="J12" s="303"/>
      <c r="K12" s="303"/>
      <c r="L12" s="303"/>
      <c r="M12" s="303"/>
      <c r="N12" s="303"/>
      <c r="O12" s="302"/>
      <c r="P12" s="304"/>
      <c r="Q12" s="332">
        <f>'BrV(b)'!K17</f>
        <v>657</v>
      </c>
      <c r="R12" s="332">
        <f>'BrV(b)'!M17</f>
        <v>657</v>
      </c>
      <c r="S12" s="332">
        <f>'BrV(b)'!O17</f>
        <v>657</v>
      </c>
      <c r="T12" s="300"/>
      <c r="U12" s="2503"/>
    </row>
    <row r="13" spans="1:21" ht="30.2" customHeight="1" x14ac:dyDescent="0.2">
      <c r="A13" s="2503"/>
      <c r="B13" s="302"/>
      <c r="C13" s="303" t="s">
        <v>104</v>
      </c>
      <c r="D13" s="303"/>
      <c r="E13" s="303"/>
      <c r="F13" s="303"/>
      <c r="G13" s="303"/>
      <c r="H13" s="303"/>
      <c r="I13" s="303"/>
      <c r="J13" s="303"/>
      <c r="K13" s="303"/>
      <c r="L13" s="303"/>
      <c r="M13" s="303"/>
      <c r="N13" s="303"/>
      <c r="O13" s="302"/>
      <c r="P13" s="304"/>
      <c r="Q13" s="332">
        <f>'BrV(b)'!K18</f>
        <v>668.43350000000009</v>
      </c>
      <c r="R13" s="332">
        <f>'BrV(b)'!M18</f>
        <v>764.47850000000017</v>
      </c>
      <c r="S13" s="332">
        <f>'BrV(b)'!O18</f>
        <v>860.52350000000013</v>
      </c>
      <c r="T13" s="300"/>
      <c r="U13" s="2503"/>
    </row>
    <row r="14" spans="1:21" ht="30.2" customHeight="1" x14ac:dyDescent="0.2">
      <c r="A14" s="2503"/>
      <c r="B14" s="302"/>
      <c r="C14" s="303" t="s">
        <v>140</v>
      </c>
      <c r="D14" s="303"/>
      <c r="E14" s="303"/>
      <c r="F14" s="303"/>
      <c r="G14" s="303"/>
      <c r="H14" s="303"/>
      <c r="I14" s="303"/>
      <c r="J14" s="303"/>
      <c r="K14" s="303"/>
      <c r="L14" s="303"/>
      <c r="M14" s="303"/>
      <c r="N14" s="303"/>
      <c r="O14" s="302"/>
      <c r="P14" s="304"/>
      <c r="Q14" s="332">
        <f>'BrV(b)'!K19+'BrV(b)'!K20+'BrV(b)'!K22+'BrV(b)'!K21+'BrV(b)'!K28</f>
        <v>633.74314238333318</v>
      </c>
      <c r="R14" s="332">
        <f>'BrV(b)'!M19+'BrV(b)'!M20+'BrV(b)'!M22+'BrV(b)'!M21+'BrV(b)'!M28</f>
        <v>671.89281464999988</v>
      </c>
      <c r="S14" s="332">
        <f>'BrV(b)'!O19+'BrV(b)'!O20+'BrV(b)'!O22+'BrV(b)'!O21+'BrV(b)'!O28</f>
        <v>714.64248691666671</v>
      </c>
      <c r="T14" s="300"/>
      <c r="U14" s="2503"/>
    </row>
    <row r="15" spans="1:21" ht="36" customHeight="1" x14ac:dyDescent="0.2">
      <c r="A15" s="2503"/>
      <c r="B15" s="316"/>
      <c r="C15" s="313" t="s">
        <v>105</v>
      </c>
      <c r="D15" s="306"/>
      <c r="E15" s="306"/>
      <c r="F15" s="306"/>
      <c r="G15" s="306"/>
      <c r="H15" s="306"/>
      <c r="I15" s="306"/>
      <c r="J15" s="306"/>
      <c r="K15" s="306"/>
      <c r="L15" s="306"/>
      <c r="M15" s="306"/>
      <c r="N15" s="306"/>
      <c r="O15" s="316"/>
      <c r="P15" s="320"/>
      <c r="Q15" s="335">
        <f>SUM(Q12:Q14)</f>
        <v>1959.1766423833333</v>
      </c>
      <c r="R15" s="335">
        <f>SUM(R12:R14)</f>
        <v>2093.3713146499999</v>
      </c>
      <c r="S15" s="335">
        <f>SUM(S12:S14)</f>
        <v>2232.165986916667</v>
      </c>
      <c r="T15" s="25"/>
      <c r="U15" s="2503"/>
    </row>
    <row r="16" spans="1:21" ht="39.75" customHeight="1" x14ac:dyDescent="0.2">
      <c r="A16" s="2503"/>
      <c r="B16" s="315"/>
      <c r="C16" s="337" t="s">
        <v>905</v>
      </c>
      <c r="D16" s="331"/>
      <c r="E16" s="331"/>
      <c r="F16" s="331"/>
      <c r="G16" s="331"/>
      <c r="H16" s="331"/>
      <c r="I16" s="331"/>
      <c r="J16" s="331"/>
      <c r="K16" s="331"/>
      <c r="L16" s="331"/>
      <c r="M16" s="331"/>
      <c r="N16" s="331"/>
      <c r="O16" s="315"/>
      <c r="P16" s="317"/>
      <c r="Q16" s="338">
        <f>Q11-Q15</f>
        <v>2013.4437492833331</v>
      </c>
      <c r="R16" s="338">
        <f>R11-R15</f>
        <v>2348.6288186833331</v>
      </c>
      <c r="S16" s="338">
        <f>S11-S15</f>
        <v>2679.2138880833327</v>
      </c>
      <c r="T16" s="336"/>
      <c r="U16" s="2503"/>
    </row>
    <row r="17" spans="1:21" ht="24" customHeight="1" x14ac:dyDescent="0.2">
      <c r="A17" s="2503"/>
      <c r="B17" s="302"/>
      <c r="C17" s="303" t="s">
        <v>626</v>
      </c>
      <c r="D17" s="303"/>
      <c r="E17" s="303"/>
      <c r="F17" s="303"/>
      <c r="G17" s="303"/>
      <c r="H17" s="303"/>
      <c r="I17" s="303"/>
      <c r="J17" s="303"/>
      <c r="K17" s="303"/>
      <c r="L17" s="303"/>
      <c r="M17" s="303"/>
      <c r="N17" s="303"/>
      <c r="O17" s="302"/>
      <c r="P17" s="304"/>
      <c r="Q17" s="332">
        <f>'BrV(b)'!K31</f>
        <v>1136.0518168999999</v>
      </c>
      <c r="R17" s="332">
        <f>'BrV(b)'!M31</f>
        <v>1188.4975245000001</v>
      </c>
      <c r="S17" s="332">
        <f>'BrV(b)'!O31</f>
        <v>1237.8547841000002</v>
      </c>
      <c r="T17" s="304"/>
      <c r="U17" s="2503"/>
    </row>
    <row r="18" spans="1:21" ht="30.75" customHeight="1" x14ac:dyDescent="0.2">
      <c r="A18" s="2503"/>
      <c r="B18" s="316"/>
      <c r="C18" s="314" t="s">
        <v>906</v>
      </c>
      <c r="D18" s="306"/>
      <c r="E18" s="306"/>
      <c r="F18" s="306"/>
      <c r="G18" s="306"/>
      <c r="H18" s="306"/>
      <c r="I18" s="306"/>
      <c r="J18" s="306"/>
      <c r="K18" s="306"/>
      <c r="L18" s="306"/>
      <c r="M18" s="306"/>
      <c r="N18" s="306"/>
      <c r="O18" s="316"/>
      <c r="P18" s="320"/>
      <c r="Q18" s="339">
        <f>Q16-Q17</f>
        <v>877.39193238333314</v>
      </c>
      <c r="R18" s="339">
        <f>R16-R17</f>
        <v>1160.131294183333</v>
      </c>
      <c r="S18" s="339">
        <f>S16-S17</f>
        <v>1441.3591039833325</v>
      </c>
      <c r="T18" s="320"/>
      <c r="U18" s="2503"/>
    </row>
    <row r="19" spans="1:21" ht="15" customHeight="1" x14ac:dyDescent="0.2">
      <c r="A19" s="2503"/>
      <c r="U19" s="2503"/>
    </row>
    <row r="20" spans="1:21" ht="12.2" customHeight="1" x14ac:dyDescent="0.2">
      <c r="A20" s="2503"/>
      <c r="U20" s="2503"/>
    </row>
    <row r="21" spans="1:21" ht="28.5" customHeight="1" x14ac:dyDescent="0.2">
      <c r="A21" s="2503"/>
      <c r="B21" s="3075"/>
      <c r="C21" s="3087" t="s">
        <v>131</v>
      </c>
      <c r="D21" s="3088" t="s">
        <v>57</v>
      </c>
      <c r="E21" s="3089"/>
      <c r="F21" s="3089"/>
      <c r="G21" s="3089"/>
      <c r="H21" s="3089"/>
      <c r="I21" s="3089"/>
      <c r="J21" s="3089"/>
      <c r="K21" s="3089"/>
      <c r="L21" s="3089"/>
      <c r="M21" s="3089"/>
      <c r="N21" s="3089"/>
      <c r="O21" s="3089"/>
      <c r="P21" s="3089"/>
      <c r="Q21" s="3090"/>
      <c r="R21" s="3091"/>
      <c r="S21" s="3092" t="str">
        <f>'BrV(b)'!P2</f>
        <v>Milchkuh; Braunvieh</v>
      </c>
      <c r="T21" s="3807"/>
      <c r="U21" s="2503"/>
    </row>
    <row r="22" spans="1:21" ht="23.25" customHeight="1" x14ac:dyDescent="0.2">
      <c r="A22" s="2503"/>
      <c r="B22" s="3081"/>
      <c r="C22" s="3093" t="s">
        <v>95</v>
      </c>
      <c r="D22" s="3094" t="s">
        <v>132</v>
      </c>
      <c r="E22" s="3095"/>
      <c r="F22" s="3095"/>
      <c r="G22" s="3095"/>
      <c r="H22" s="3095"/>
      <c r="I22" s="3095"/>
      <c r="J22" s="3095"/>
      <c r="K22" s="3095"/>
      <c r="L22" s="3095"/>
      <c r="M22" s="3095"/>
      <c r="N22" s="3095"/>
      <c r="O22" s="3095"/>
      <c r="P22" s="3095"/>
      <c r="Q22" s="3096" t="str">
        <f>Q4</f>
        <v xml:space="preserve">  Kalenderjahr:</v>
      </c>
      <c r="R22" s="3097"/>
      <c r="S22" s="3098">
        <f>'BrV(b)'!P4</f>
        <v>2022</v>
      </c>
      <c r="T22" s="3808"/>
      <c r="U22" s="2503"/>
    </row>
    <row r="23" spans="1:21" s="4" customFormat="1" ht="12.75" x14ac:dyDescent="0.2">
      <c r="A23" s="2503"/>
      <c r="B23" s="323"/>
      <c r="C23" s="20"/>
      <c r="D23" s="20"/>
      <c r="E23" s="20"/>
      <c r="F23" s="20"/>
      <c r="G23" s="20"/>
      <c r="H23" s="20"/>
      <c r="I23" s="20"/>
      <c r="J23" s="20"/>
      <c r="K23" s="20"/>
      <c r="L23" s="20"/>
      <c r="M23" s="20"/>
      <c r="N23" s="20"/>
      <c r="O23" s="20"/>
      <c r="P23" s="20"/>
      <c r="Q23" s="20"/>
      <c r="R23" s="20"/>
      <c r="S23" s="20"/>
      <c r="T23" s="309"/>
      <c r="U23" s="2503"/>
    </row>
    <row r="24" spans="1:21" ht="30.2" customHeight="1" x14ac:dyDescent="0.2">
      <c r="A24" s="2503"/>
      <c r="B24" s="898"/>
      <c r="C24" s="899" t="s">
        <v>1077</v>
      </c>
      <c r="D24" s="900"/>
      <c r="E24" s="900"/>
      <c r="F24" s="900"/>
      <c r="G24" s="900"/>
      <c r="H24" s="900"/>
      <c r="I24" s="900"/>
      <c r="J24" s="900"/>
      <c r="K24" s="900"/>
      <c r="L24" s="900"/>
      <c r="M24" s="900"/>
      <c r="N24" s="900"/>
      <c r="O24" s="910" t="s">
        <v>98</v>
      </c>
      <c r="P24" s="902"/>
      <c r="Q24" s="903">
        <f>'BrV(b)'!K7</f>
        <v>6500</v>
      </c>
      <c r="R24" s="903">
        <f>'BrV(b)'!M7</f>
        <v>7500</v>
      </c>
      <c r="S24" s="903">
        <f>'BrV(b)'!O7</f>
        <v>8500</v>
      </c>
      <c r="T24" s="902"/>
      <c r="U24" s="2503"/>
    </row>
    <row r="25" spans="1:21" ht="30.2" customHeight="1" x14ac:dyDescent="0.2">
      <c r="A25" s="2503"/>
      <c r="B25" s="904"/>
      <c r="C25" s="911" t="str">
        <f>C7</f>
        <v>Milchpreis  (inkl. Mwst. )</v>
      </c>
      <c r="D25" s="906"/>
      <c r="E25" s="906"/>
      <c r="F25" s="906"/>
      <c r="G25" s="906"/>
      <c r="H25" s="906"/>
      <c r="I25" s="906"/>
      <c r="J25" s="906"/>
      <c r="K25" s="906"/>
      <c r="L25" s="906"/>
      <c r="M25" s="906"/>
      <c r="N25" s="906"/>
      <c r="O25" s="904" t="s">
        <v>99</v>
      </c>
      <c r="P25" s="907"/>
      <c r="Q25" s="912">
        <f>'BrV(b)'!K8</f>
        <v>0.46208999999999995</v>
      </c>
      <c r="R25" s="912">
        <f>'BrV(b)'!M8</f>
        <v>0.46208999999999995</v>
      </c>
      <c r="S25" s="912">
        <f>'BrV(b)'!O8</f>
        <v>0.46208999999999995</v>
      </c>
      <c r="T25" s="907"/>
      <c r="U25" s="2503"/>
    </row>
    <row r="26" spans="1:21" ht="48.2" customHeight="1" x14ac:dyDescent="0.2">
      <c r="A26" s="2503"/>
      <c r="B26" s="340"/>
      <c r="C26" s="341" t="s">
        <v>906</v>
      </c>
      <c r="D26" s="342"/>
      <c r="E26" s="342"/>
      <c r="F26" s="342"/>
      <c r="G26" s="342"/>
      <c r="H26" s="342"/>
      <c r="I26" s="342"/>
      <c r="J26" s="342"/>
      <c r="K26" s="342"/>
      <c r="L26" s="342"/>
      <c r="M26" s="342"/>
      <c r="N26" s="342"/>
      <c r="O26" s="340" t="s">
        <v>101</v>
      </c>
      <c r="P26" s="344"/>
      <c r="Q26" s="343">
        <f>Q18</f>
        <v>877.39193238333314</v>
      </c>
      <c r="R26" s="343">
        <f>R18</f>
        <v>1160.131294183333</v>
      </c>
      <c r="S26" s="343">
        <f>S18</f>
        <v>1441.3591039833325</v>
      </c>
      <c r="T26" s="344"/>
      <c r="U26" s="2503"/>
    </row>
    <row r="27" spans="1:21" ht="36" customHeight="1" x14ac:dyDescent="0.2">
      <c r="A27" s="2503"/>
      <c r="B27" s="315"/>
      <c r="C27" s="331" t="s">
        <v>47</v>
      </c>
      <c r="D27" s="331"/>
      <c r="E27" s="331"/>
      <c r="F27" s="331"/>
      <c r="G27" s="331"/>
      <c r="H27" s="331"/>
      <c r="I27" s="331"/>
      <c r="J27" s="331"/>
      <c r="K27" s="331"/>
      <c r="L27" s="331"/>
      <c r="M27" s="331"/>
      <c r="N27" s="331"/>
      <c r="O27" s="315"/>
      <c r="P27" s="317"/>
      <c r="Q27" s="354">
        <f>'BrV(b)'!K36</f>
        <v>787.5</v>
      </c>
      <c r="R27" s="354">
        <f>'BrV(b)'!M36</f>
        <v>822.5</v>
      </c>
      <c r="S27" s="354">
        <f>'BrV(b)'!O36</f>
        <v>857.5</v>
      </c>
      <c r="T27" s="317"/>
      <c r="U27" s="2503"/>
    </row>
    <row r="28" spans="1:21" ht="36" customHeight="1" x14ac:dyDescent="0.2">
      <c r="A28" s="2503"/>
      <c r="B28" s="302"/>
      <c r="C28" s="303" t="s">
        <v>144</v>
      </c>
      <c r="D28" s="303"/>
      <c r="E28" s="303"/>
      <c r="F28" s="303"/>
      <c r="G28" s="303"/>
      <c r="H28" s="303"/>
      <c r="I28" s="303"/>
      <c r="J28" s="303"/>
      <c r="K28" s="303"/>
      <c r="L28" s="303"/>
      <c r="M28" s="303"/>
      <c r="N28" s="303"/>
      <c r="O28" s="302"/>
      <c r="P28" s="304"/>
      <c r="Q28" s="332">
        <f>'BrV(b)'!K37+'BrV(b)'!K38</f>
        <v>751.73886666666658</v>
      </c>
      <c r="R28" s="332">
        <f>'BrV(b)'!M37+'BrV(b)'!M38</f>
        <v>751.73886666666658</v>
      </c>
      <c r="S28" s="332">
        <f>'BrV(b)'!O37+'BrV(b)'!O38</f>
        <v>751.73886666666658</v>
      </c>
      <c r="T28" s="304"/>
      <c r="U28" s="2503"/>
    </row>
    <row r="29" spans="1:21" ht="36" customHeight="1" x14ac:dyDescent="0.2">
      <c r="A29" s="2503"/>
      <c r="B29" s="302"/>
      <c r="C29" s="303" t="s">
        <v>81</v>
      </c>
      <c r="D29" s="303"/>
      <c r="E29" s="303"/>
      <c r="F29" s="303"/>
      <c r="G29" s="303"/>
      <c r="H29" s="303"/>
      <c r="I29" s="303"/>
      <c r="J29" s="303"/>
      <c r="K29" s="303"/>
      <c r="L29" s="303"/>
      <c r="M29" s="303"/>
      <c r="N29" s="303"/>
      <c r="O29" s="302"/>
      <c r="P29" s="304"/>
      <c r="Q29" s="332">
        <f>'BrV(b)'!K39</f>
        <v>93.12939999999999</v>
      </c>
      <c r="R29" s="332">
        <f>'BrV(b)'!M39</f>
        <v>93.12939999999999</v>
      </c>
      <c r="S29" s="332">
        <f>'BrV(b)'!O39</f>
        <v>93.12939999999999</v>
      </c>
      <c r="T29" s="304"/>
      <c r="U29" s="2503"/>
    </row>
    <row r="30" spans="1:21" ht="36" customHeight="1" x14ac:dyDescent="0.2">
      <c r="A30" s="2503"/>
      <c r="B30" s="302"/>
      <c r="C30" s="303" t="s">
        <v>895</v>
      </c>
      <c r="D30" s="303"/>
      <c r="E30" s="303"/>
      <c r="F30" s="303"/>
      <c r="G30" s="303"/>
      <c r="H30" s="303"/>
      <c r="I30" s="303"/>
      <c r="J30" s="303"/>
      <c r="K30" s="303"/>
      <c r="L30" s="303"/>
      <c r="M30" s="303"/>
      <c r="N30" s="303"/>
      <c r="O30" s="302"/>
      <c r="P30" s="304"/>
      <c r="Q30" s="332">
        <f>'BrV(b)'!K40</f>
        <v>117.60000000000001</v>
      </c>
      <c r="R30" s="332">
        <f>'BrV(b)'!M40</f>
        <v>117.60000000000001</v>
      </c>
      <c r="S30" s="332">
        <f>'BrV(b)'!O40</f>
        <v>117.60000000000001</v>
      </c>
      <c r="T30" s="304"/>
      <c r="U30" s="2503"/>
    </row>
    <row r="31" spans="1:21" ht="48.2" customHeight="1" x14ac:dyDescent="0.2">
      <c r="A31" s="2503"/>
      <c r="B31" s="316"/>
      <c r="C31" s="313" t="s">
        <v>141</v>
      </c>
      <c r="D31" s="306"/>
      <c r="E31" s="306"/>
      <c r="F31" s="306"/>
      <c r="G31" s="306"/>
      <c r="H31" s="306"/>
      <c r="I31" s="306"/>
      <c r="J31" s="306"/>
      <c r="K31" s="306"/>
      <c r="L31" s="306"/>
      <c r="M31" s="306"/>
      <c r="N31" s="306"/>
      <c r="O31" s="316"/>
      <c r="P31" s="320"/>
      <c r="Q31" s="335">
        <f>Q27+Q28+Q29+Q30</f>
        <v>1749.9682666666665</v>
      </c>
      <c r="R31" s="335">
        <f>R27+R28+R29+R30</f>
        <v>1784.9682666666665</v>
      </c>
      <c r="S31" s="335">
        <f>S27+S28+S29+S30</f>
        <v>1819.9682666666665</v>
      </c>
      <c r="T31" s="320"/>
      <c r="U31" s="2503"/>
    </row>
    <row r="32" spans="1:21" ht="52.5" customHeight="1" x14ac:dyDescent="0.2">
      <c r="A32" s="2503"/>
      <c r="B32" s="315"/>
      <c r="C32" s="535" t="s">
        <v>147</v>
      </c>
      <c r="D32" s="331"/>
      <c r="E32" s="331"/>
      <c r="F32" s="331"/>
      <c r="G32" s="331"/>
      <c r="H32" s="331"/>
      <c r="I32" s="331"/>
      <c r="J32" s="331"/>
      <c r="K32" s="331"/>
      <c r="L32" s="331"/>
      <c r="M32" s="331"/>
      <c r="N32" s="331"/>
      <c r="O32" s="315"/>
      <c r="P32" s="317"/>
      <c r="Q32" s="541">
        <f>Q26-Q31</f>
        <v>-872.57633428333338</v>
      </c>
      <c r="R32" s="541">
        <f>R26-R31</f>
        <v>-624.83697248333351</v>
      </c>
      <c r="S32" s="541">
        <f>S26-S31</f>
        <v>-378.60916268333403</v>
      </c>
      <c r="T32" s="317"/>
      <c r="U32" s="2503"/>
    </row>
    <row r="33" spans="1:21" ht="23.25" customHeight="1" x14ac:dyDescent="0.2">
      <c r="A33" s="2503"/>
      <c r="B33" s="316"/>
      <c r="C33" s="537" t="s">
        <v>148</v>
      </c>
      <c r="D33" s="306"/>
      <c r="E33" s="306"/>
      <c r="F33" s="306"/>
      <c r="G33" s="306"/>
      <c r="H33" s="306"/>
      <c r="I33" s="306"/>
      <c r="J33" s="306"/>
      <c r="K33" s="306"/>
      <c r="L33" s="306"/>
      <c r="M33" s="306"/>
      <c r="N33" s="306"/>
      <c r="O33" s="316"/>
      <c r="P33" s="320"/>
      <c r="Q33" s="335"/>
      <c r="R33" s="335"/>
      <c r="S33" s="335"/>
      <c r="T33" s="320"/>
      <c r="U33" s="2503"/>
    </row>
    <row r="34" spans="1:21" ht="16.5" customHeight="1" x14ac:dyDescent="0.2">
      <c r="A34" s="2503"/>
      <c r="B34" s="303"/>
      <c r="C34" s="333"/>
      <c r="D34" s="303"/>
      <c r="E34" s="303"/>
      <c r="F34" s="303"/>
      <c r="G34" s="303"/>
      <c r="H34" s="303"/>
      <c r="I34" s="303"/>
      <c r="J34" s="303"/>
      <c r="K34" s="303"/>
      <c r="L34" s="303"/>
      <c r="M34" s="303"/>
      <c r="N34" s="303"/>
      <c r="O34" s="303"/>
      <c r="P34" s="303"/>
      <c r="Q34" s="334"/>
      <c r="R34" s="334"/>
      <c r="S34" s="334"/>
      <c r="T34" s="303"/>
      <c r="U34" s="2503"/>
    </row>
    <row r="35" spans="1:21" ht="31.7" customHeight="1" x14ac:dyDescent="0.2">
      <c r="A35" s="2503"/>
      <c r="B35" s="3075"/>
      <c r="C35" s="3088" t="s">
        <v>131</v>
      </c>
      <c r="D35" s="3099" t="s">
        <v>57</v>
      </c>
      <c r="E35" s="3089"/>
      <c r="F35" s="3089"/>
      <c r="G35" s="3089"/>
      <c r="H35" s="3089"/>
      <c r="I35" s="3089"/>
      <c r="J35" s="3089"/>
      <c r="K35" s="3089"/>
      <c r="L35" s="3089"/>
      <c r="M35" s="3089"/>
      <c r="N35" s="3089"/>
      <c r="O35" s="3089"/>
      <c r="P35" s="3089"/>
      <c r="Q35" s="3090"/>
      <c r="R35" s="3091"/>
      <c r="S35" s="3092" t="str">
        <f>'BrV(b)'!P2</f>
        <v>Milchkuh; Braunvieh</v>
      </c>
      <c r="T35" s="3807"/>
      <c r="U35" s="2503"/>
    </row>
    <row r="36" spans="1:21" x14ac:dyDescent="0.2">
      <c r="A36" s="2503"/>
      <c r="B36" s="3081"/>
      <c r="C36" s="3094" t="s">
        <v>149</v>
      </c>
      <c r="D36" s="3100" t="s">
        <v>152</v>
      </c>
      <c r="E36" s="3101"/>
      <c r="F36" s="3101"/>
      <c r="G36" s="3095"/>
      <c r="H36" s="3095"/>
      <c r="I36" s="3095"/>
      <c r="J36" s="3095"/>
      <c r="K36" s="3095"/>
      <c r="L36" s="3095"/>
      <c r="M36" s="3095"/>
      <c r="N36" s="3095"/>
      <c r="O36" s="3095"/>
      <c r="P36" s="3095"/>
      <c r="Q36" s="3096" t="str">
        <f>Q4</f>
        <v xml:space="preserve">  Kalenderjahr:</v>
      </c>
      <c r="R36" s="3095"/>
      <c r="S36" s="3097">
        <f>'BrV(b)'!P4</f>
        <v>2022</v>
      </c>
      <c r="T36" s="3808"/>
      <c r="U36" s="2503"/>
    </row>
    <row r="37" spans="1:21" s="4" customFormat="1" ht="12.75" x14ac:dyDescent="0.2">
      <c r="A37" s="2503"/>
      <c r="B37" s="101"/>
      <c r="C37" s="20"/>
      <c r="D37" s="20"/>
      <c r="E37" s="20"/>
      <c r="F37" s="20"/>
      <c r="G37" s="20"/>
      <c r="H37" s="20"/>
      <c r="I37" s="20"/>
      <c r="J37" s="20"/>
      <c r="K37" s="20"/>
      <c r="L37" s="20"/>
      <c r="M37" s="20"/>
      <c r="N37" s="20"/>
      <c r="O37" s="20"/>
      <c r="P37" s="20"/>
      <c r="Q37" s="20"/>
      <c r="R37" s="20"/>
      <c r="S37" s="20"/>
      <c r="T37" s="309"/>
      <c r="U37" s="2503"/>
    </row>
    <row r="38" spans="1:21" ht="30.2" customHeight="1" x14ac:dyDescent="0.2">
      <c r="A38" s="2503"/>
      <c r="B38" s="898"/>
      <c r="C38" s="913" t="s">
        <v>1077</v>
      </c>
      <c r="D38" s="914"/>
      <c r="E38" s="914"/>
      <c r="F38" s="914"/>
      <c r="G38" s="914"/>
      <c r="H38" s="914"/>
      <c r="I38" s="914"/>
      <c r="J38" s="914"/>
      <c r="K38" s="914"/>
      <c r="L38" s="914"/>
      <c r="M38" s="914"/>
      <c r="N38" s="914"/>
      <c r="O38" s="898" t="s">
        <v>98</v>
      </c>
      <c r="P38" s="915"/>
      <c r="Q38" s="916">
        <f>'BrV(b)'!K7</f>
        <v>6500</v>
      </c>
      <c r="R38" s="916">
        <f>'BrV(b)'!M7</f>
        <v>7500</v>
      </c>
      <c r="S38" s="916">
        <f>'BrV(b)'!O7</f>
        <v>8500</v>
      </c>
      <c r="T38" s="917"/>
      <c r="U38" s="2503"/>
    </row>
    <row r="39" spans="1:21" ht="30.2" customHeight="1" x14ac:dyDescent="0.2">
      <c r="A39" s="2503"/>
      <c r="B39" s="904"/>
      <c r="C39" s="918" t="str">
        <f>C7</f>
        <v>Milchpreis  (inkl. Mwst. )</v>
      </c>
      <c r="D39" s="919"/>
      <c r="E39" s="906"/>
      <c r="F39" s="906"/>
      <c r="G39" s="906"/>
      <c r="H39" s="906"/>
      <c r="I39" s="906"/>
      <c r="J39" s="906"/>
      <c r="K39" s="906"/>
      <c r="L39" s="906"/>
      <c r="M39" s="906"/>
      <c r="N39" s="906"/>
      <c r="O39" s="904" t="s">
        <v>99</v>
      </c>
      <c r="P39" s="920"/>
      <c r="Q39" s="921">
        <f>'BrV(b)'!K8</f>
        <v>0.46208999999999995</v>
      </c>
      <c r="R39" s="921">
        <f>'BrV(b)'!M8</f>
        <v>0.46208999999999995</v>
      </c>
      <c r="S39" s="921">
        <f>'BrV(b)'!O8</f>
        <v>0.46208999999999995</v>
      </c>
      <c r="T39" s="907"/>
      <c r="U39" s="2503"/>
    </row>
    <row r="40" spans="1:21" ht="8.4499999999999993" customHeight="1" x14ac:dyDescent="0.2">
      <c r="A40" s="2503"/>
      <c r="B40" s="302"/>
      <c r="C40" s="303"/>
      <c r="D40" s="303"/>
      <c r="E40" s="303"/>
      <c r="F40" s="303"/>
      <c r="G40" s="303"/>
      <c r="H40" s="303"/>
      <c r="I40" s="303"/>
      <c r="J40" s="303"/>
      <c r="K40" s="303"/>
      <c r="L40" s="303"/>
      <c r="M40" s="303"/>
      <c r="N40" s="303"/>
      <c r="O40" s="302"/>
      <c r="P40" s="304"/>
      <c r="Q40" s="303"/>
      <c r="R40" s="303"/>
      <c r="S40" s="303"/>
      <c r="T40" s="304"/>
      <c r="U40" s="2503"/>
    </row>
    <row r="41" spans="1:21" ht="30.2" customHeight="1" x14ac:dyDescent="0.2">
      <c r="A41" s="2503"/>
      <c r="B41" s="302"/>
      <c r="C41" s="303" t="s">
        <v>100</v>
      </c>
      <c r="D41" s="303"/>
      <c r="E41" s="303"/>
      <c r="F41" s="303"/>
      <c r="G41" s="303"/>
      <c r="H41" s="303"/>
      <c r="I41" s="303"/>
      <c r="J41" s="303"/>
      <c r="K41" s="303"/>
      <c r="L41" s="303"/>
      <c r="M41" s="303"/>
      <c r="N41" s="303"/>
      <c r="O41" s="302" t="s">
        <v>99</v>
      </c>
      <c r="P41" s="304"/>
      <c r="Q41" s="305">
        <f>Q9/Q38</f>
        <v>0.46208999999999995</v>
      </c>
      <c r="R41" s="305">
        <f>R9/R38</f>
        <v>0.46208999999999995</v>
      </c>
      <c r="S41" s="305">
        <f>S9/S38</f>
        <v>0.46208999999999995</v>
      </c>
      <c r="T41" s="304"/>
      <c r="U41" s="2503"/>
    </row>
    <row r="42" spans="1:21" ht="30.2" customHeight="1" x14ac:dyDescent="0.2">
      <c r="A42" s="2503"/>
      <c r="B42" s="302"/>
      <c r="C42" s="303" t="s">
        <v>102</v>
      </c>
      <c r="D42" s="303"/>
      <c r="E42" s="303"/>
      <c r="F42" s="303"/>
      <c r="G42" s="303"/>
      <c r="H42" s="303"/>
      <c r="I42" s="303"/>
      <c r="J42" s="303"/>
      <c r="K42" s="303"/>
      <c r="L42" s="303"/>
      <c r="M42" s="303"/>
      <c r="N42" s="303"/>
      <c r="O42" s="302"/>
      <c r="P42" s="304"/>
      <c r="Q42" s="305">
        <f>Q10/Q24</f>
        <v>0.14908236794871793</v>
      </c>
      <c r="R42" s="305">
        <f>R10/R24</f>
        <v>0.13017668444444444</v>
      </c>
      <c r="S42" s="305">
        <f>S10/S24</f>
        <v>0.11571939705882352</v>
      </c>
      <c r="T42" s="304"/>
      <c r="U42" s="2503"/>
    </row>
    <row r="43" spans="1:21" ht="35.450000000000003" customHeight="1" x14ac:dyDescent="0.2">
      <c r="A43" s="2503"/>
      <c r="B43" s="316"/>
      <c r="C43" s="313" t="s">
        <v>103</v>
      </c>
      <c r="D43" s="306"/>
      <c r="E43" s="306"/>
      <c r="F43" s="306"/>
      <c r="G43" s="306"/>
      <c r="H43" s="306"/>
      <c r="I43" s="306"/>
      <c r="J43" s="306"/>
      <c r="K43" s="306"/>
      <c r="L43" s="306"/>
      <c r="M43" s="306"/>
      <c r="N43" s="306"/>
      <c r="O43" s="316"/>
      <c r="P43" s="320"/>
      <c r="Q43" s="307">
        <f>Q41+Q42</f>
        <v>0.61117236794871788</v>
      </c>
      <c r="R43" s="307">
        <f>R41+R42</f>
        <v>0.59226668444444441</v>
      </c>
      <c r="S43" s="307">
        <f>S41+S42</f>
        <v>0.5778093970588235</v>
      </c>
      <c r="T43" s="320"/>
      <c r="U43" s="2503"/>
    </row>
    <row r="44" spans="1:21" ht="30.2" customHeight="1" x14ac:dyDescent="0.2">
      <c r="A44" s="2503"/>
      <c r="B44" s="302"/>
      <c r="C44" s="303" t="s">
        <v>1086</v>
      </c>
      <c r="D44" s="303"/>
      <c r="E44" s="303"/>
      <c r="F44" s="303"/>
      <c r="G44" s="303"/>
      <c r="H44" s="303"/>
      <c r="I44" s="303"/>
      <c r="J44" s="303"/>
      <c r="K44" s="303"/>
      <c r="L44" s="303"/>
      <c r="M44" s="303"/>
      <c r="N44" s="303"/>
      <c r="O44" s="302"/>
      <c r="P44" s="304"/>
      <c r="Q44" s="305">
        <f>Q12/Q38</f>
        <v>0.10107692307692308</v>
      </c>
      <c r="R44" s="305">
        <f>R12/R38</f>
        <v>8.7599999999999997E-2</v>
      </c>
      <c r="S44" s="305">
        <f>S12/S38</f>
        <v>7.7294117647058819E-2</v>
      </c>
      <c r="T44" s="304"/>
      <c r="U44" s="2503"/>
    </row>
    <row r="45" spans="1:21" ht="30.2" customHeight="1" x14ac:dyDescent="0.2">
      <c r="A45" s="2503"/>
      <c r="B45" s="302"/>
      <c r="C45" s="303" t="s">
        <v>64</v>
      </c>
      <c r="D45" s="303"/>
      <c r="E45" s="303"/>
      <c r="F45" s="303"/>
      <c r="G45" s="303"/>
      <c r="H45" s="303"/>
      <c r="I45" s="303"/>
      <c r="J45" s="303"/>
      <c r="K45" s="303"/>
      <c r="L45" s="303"/>
      <c r="M45" s="303"/>
      <c r="N45" s="303"/>
      <c r="O45" s="302"/>
      <c r="P45" s="304"/>
      <c r="Q45" s="305">
        <f>Q13/Q38</f>
        <v>0.10283592307692309</v>
      </c>
      <c r="R45" s="305">
        <f>R13/R38</f>
        <v>0.10193046666666669</v>
      </c>
      <c r="S45" s="305">
        <f>S13/S38</f>
        <v>0.10123805882352943</v>
      </c>
      <c r="T45" s="304"/>
      <c r="U45" s="2503"/>
    </row>
    <row r="46" spans="1:21" ht="30.2" customHeight="1" x14ac:dyDescent="0.2">
      <c r="A46" s="2503"/>
      <c r="B46" s="302"/>
      <c r="C46" s="303" t="s">
        <v>139</v>
      </c>
      <c r="D46" s="303"/>
      <c r="E46" s="303"/>
      <c r="F46" s="303"/>
      <c r="G46" s="303"/>
      <c r="H46" s="303"/>
      <c r="I46" s="303"/>
      <c r="J46" s="303"/>
      <c r="K46" s="303"/>
      <c r="L46" s="303"/>
      <c r="M46" s="303"/>
      <c r="N46" s="303"/>
      <c r="O46" s="302"/>
      <c r="P46" s="304"/>
      <c r="Q46" s="305">
        <f>('BrV(b)'!K19+'BrV(b)'!K20+'BrV(b)'!K22+'BrV(b)'!K21+'BrV(b)'!K28)/'BrV(b)'!K7</f>
        <v>9.7498944982051264E-2</v>
      </c>
      <c r="R46" s="305">
        <f>('BrV(b)'!M19+'BrV(b)'!M20+'BrV(b)'!M22+'BrV(b)'!M21+'BrV(b)'!M28)/'BrV(b)'!M7</f>
        <v>8.9585708619999982E-2</v>
      </c>
      <c r="S46" s="305">
        <f>('BrV(b)'!O19+'BrV(b)'!O20+'BrV(b)'!O22+'BrV(b)'!O21+'BrV(b)'!O28)/'BrV(b)'!O7</f>
        <v>8.4075586696078439E-2</v>
      </c>
      <c r="T46" s="304"/>
      <c r="U46" s="2503"/>
    </row>
    <row r="47" spans="1:21" ht="35.450000000000003" customHeight="1" x14ac:dyDescent="0.2">
      <c r="A47" s="2503"/>
      <c r="B47" s="316"/>
      <c r="C47" s="313" t="s">
        <v>105</v>
      </c>
      <c r="D47" s="306"/>
      <c r="E47" s="306"/>
      <c r="F47" s="306"/>
      <c r="G47" s="306"/>
      <c r="H47" s="306"/>
      <c r="I47" s="306"/>
      <c r="J47" s="306"/>
      <c r="K47" s="306"/>
      <c r="L47" s="306"/>
      <c r="M47" s="306"/>
      <c r="N47" s="306"/>
      <c r="O47" s="316"/>
      <c r="P47" s="320"/>
      <c r="Q47" s="307">
        <f>Q15/Q38</f>
        <v>0.30141179113589744</v>
      </c>
      <c r="R47" s="307">
        <f>R15/R38</f>
        <v>0.27911617528666666</v>
      </c>
      <c r="S47" s="307">
        <f>S15/S38</f>
        <v>0.26260776316666667</v>
      </c>
      <c r="T47" s="320"/>
      <c r="U47" s="2503"/>
    </row>
    <row r="48" spans="1:21" ht="37.5" customHeight="1" x14ac:dyDescent="0.2">
      <c r="A48" s="2503"/>
      <c r="B48" s="302"/>
      <c r="C48" s="321" t="s">
        <v>252</v>
      </c>
      <c r="D48" s="303"/>
      <c r="E48" s="303"/>
      <c r="F48" s="303"/>
      <c r="G48" s="303"/>
      <c r="H48" s="303"/>
      <c r="I48" s="303"/>
      <c r="J48" s="303"/>
      <c r="K48" s="303"/>
      <c r="L48" s="303"/>
      <c r="M48" s="303"/>
      <c r="N48" s="303"/>
      <c r="O48" s="302"/>
      <c r="P48" s="304"/>
      <c r="Q48" s="322">
        <f>Q43-Q47</f>
        <v>0.30976057681282043</v>
      </c>
      <c r="R48" s="322">
        <f>R43-R47</f>
        <v>0.31315050915777776</v>
      </c>
      <c r="S48" s="322">
        <f>S43-S47</f>
        <v>0.31520163389215683</v>
      </c>
      <c r="T48" s="304"/>
      <c r="U48" s="2503"/>
    </row>
    <row r="49" spans="1:21" ht="30.2" customHeight="1" x14ac:dyDescent="0.2">
      <c r="A49" s="2503"/>
      <c r="B49" s="302"/>
      <c r="C49" s="303" t="s">
        <v>627</v>
      </c>
      <c r="D49" s="303"/>
      <c r="E49" s="303"/>
      <c r="F49" s="303"/>
      <c r="G49" s="303"/>
      <c r="H49" s="303"/>
      <c r="I49" s="303"/>
      <c r="J49" s="303"/>
      <c r="K49" s="303"/>
      <c r="L49" s="303"/>
      <c r="M49" s="303"/>
      <c r="N49" s="303"/>
      <c r="O49" s="302"/>
      <c r="P49" s="304"/>
      <c r="Q49" s="305">
        <f>Q17/Q38</f>
        <v>0.17477720259999999</v>
      </c>
      <c r="R49" s="305">
        <f>R17/R38</f>
        <v>0.15846633660000001</v>
      </c>
      <c r="S49" s="305">
        <f>S17/S38</f>
        <v>0.14562997460000002</v>
      </c>
      <c r="T49" s="304"/>
      <c r="U49" s="2503"/>
    </row>
    <row r="50" spans="1:21" ht="37.5" customHeight="1" x14ac:dyDescent="0.2">
      <c r="A50" s="2503"/>
      <c r="B50" s="316"/>
      <c r="C50" s="314" t="s">
        <v>906</v>
      </c>
      <c r="D50" s="311"/>
      <c r="E50" s="311"/>
      <c r="F50" s="311"/>
      <c r="G50" s="311"/>
      <c r="H50" s="311"/>
      <c r="I50" s="311"/>
      <c r="J50" s="311"/>
      <c r="K50" s="311"/>
      <c r="L50" s="311"/>
      <c r="M50" s="311"/>
      <c r="N50" s="311"/>
      <c r="O50" s="361"/>
      <c r="P50" s="362"/>
      <c r="Q50" s="312">
        <f>Q48-Q49</f>
        <v>0.13498337421282045</v>
      </c>
      <c r="R50" s="312">
        <f>R48-R49</f>
        <v>0.15468417255777775</v>
      </c>
      <c r="S50" s="312">
        <f>S48-S49</f>
        <v>0.16957165929215681</v>
      </c>
      <c r="T50" s="308">
        <f>T48-T49</f>
        <v>0</v>
      </c>
      <c r="U50" s="2503"/>
    </row>
    <row r="51" spans="1:21" ht="12.2" customHeight="1" x14ac:dyDescent="0.2">
      <c r="A51" s="2503"/>
      <c r="U51" s="2503"/>
    </row>
    <row r="52" spans="1:21" ht="32.25" customHeight="1" x14ac:dyDescent="0.2">
      <c r="A52" s="2503"/>
      <c r="B52" s="3075"/>
      <c r="C52" s="3087" t="s">
        <v>131</v>
      </c>
      <c r="D52" s="3102" t="s">
        <v>57</v>
      </c>
      <c r="E52" s="3089"/>
      <c r="F52" s="3089"/>
      <c r="G52" s="3089"/>
      <c r="H52" s="3089"/>
      <c r="I52" s="3089"/>
      <c r="J52" s="3089"/>
      <c r="K52" s="3089"/>
      <c r="L52" s="3089"/>
      <c r="M52" s="3089"/>
      <c r="N52" s="3089"/>
      <c r="O52" s="3089"/>
      <c r="P52" s="3089"/>
      <c r="Q52" s="3090"/>
      <c r="R52" s="3091"/>
      <c r="S52" s="3092" t="str">
        <f>'BrV(b)'!P2</f>
        <v>Milchkuh; Braunvieh</v>
      </c>
      <c r="T52" s="3807"/>
      <c r="U52" s="2503"/>
    </row>
    <row r="53" spans="1:21" x14ac:dyDescent="0.2">
      <c r="A53" s="2503"/>
      <c r="B53" s="3081"/>
      <c r="C53" s="3094" t="s">
        <v>149</v>
      </c>
      <c r="D53" s="3094" t="s">
        <v>153</v>
      </c>
      <c r="E53" s="3095"/>
      <c r="F53" s="3095"/>
      <c r="G53" s="3095"/>
      <c r="H53" s="3095"/>
      <c r="I53" s="3095"/>
      <c r="J53" s="3095"/>
      <c r="K53" s="3095"/>
      <c r="L53" s="3095"/>
      <c r="M53" s="3095"/>
      <c r="N53" s="3095"/>
      <c r="O53" s="3095"/>
      <c r="P53" s="3095"/>
      <c r="Q53" s="3096" t="str">
        <f>Q4</f>
        <v xml:space="preserve">  Kalenderjahr:</v>
      </c>
      <c r="R53" s="3095"/>
      <c r="S53" s="3095">
        <f>'BrV(b)'!P4</f>
        <v>2022</v>
      </c>
      <c r="T53" s="3808"/>
      <c r="U53" s="2503"/>
    </row>
    <row r="54" spans="1:21" s="4" customFormat="1" ht="12.75" x14ac:dyDescent="0.2">
      <c r="A54" s="2503"/>
      <c r="B54" s="323"/>
      <c r="C54" s="20"/>
      <c r="D54" s="20"/>
      <c r="E54" s="20"/>
      <c r="F54" s="20"/>
      <c r="G54" s="20"/>
      <c r="H54" s="20"/>
      <c r="I54" s="20"/>
      <c r="J54" s="20"/>
      <c r="K54" s="20"/>
      <c r="L54" s="20"/>
      <c r="M54" s="20"/>
      <c r="N54" s="20"/>
      <c r="O54" s="20"/>
      <c r="P54" s="20"/>
      <c r="Q54" s="353"/>
      <c r="R54" s="20"/>
      <c r="S54" s="20"/>
      <c r="T54" s="309"/>
      <c r="U54" s="2503"/>
    </row>
    <row r="55" spans="1:21" ht="30.2" customHeight="1" x14ac:dyDescent="0.2">
      <c r="A55" s="2503"/>
      <c r="B55" s="898"/>
      <c r="C55" s="899" t="s">
        <v>1077</v>
      </c>
      <c r="D55" s="900"/>
      <c r="E55" s="900"/>
      <c r="F55" s="900"/>
      <c r="G55" s="900"/>
      <c r="H55" s="900"/>
      <c r="I55" s="900"/>
      <c r="J55" s="900"/>
      <c r="K55" s="900"/>
      <c r="L55" s="900"/>
      <c r="M55" s="900"/>
      <c r="N55" s="900"/>
      <c r="O55" s="898" t="s">
        <v>98</v>
      </c>
      <c r="P55" s="902"/>
      <c r="Q55" s="903">
        <f>'BrV(b)'!K7</f>
        <v>6500</v>
      </c>
      <c r="R55" s="903">
        <f>'BrV(b)'!M7</f>
        <v>7500</v>
      </c>
      <c r="S55" s="903">
        <f>'BrV(b)'!O7</f>
        <v>8500</v>
      </c>
      <c r="T55" s="902"/>
      <c r="U55" s="2503"/>
    </row>
    <row r="56" spans="1:21" ht="30.2" customHeight="1" x14ac:dyDescent="0.2">
      <c r="A56" s="2503"/>
      <c r="B56" s="904"/>
      <c r="C56" s="911" t="str">
        <f>C7</f>
        <v>Milchpreis  (inkl. Mwst. )</v>
      </c>
      <c r="D56" s="906"/>
      <c r="E56" s="906"/>
      <c r="F56" s="906"/>
      <c r="G56" s="906"/>
      <c r="H56" s="906"/>
      <c r="I56" s="906"/>
      <c r="J56" s="906"/>
      <c r="K56" s="906"/>
      <c r="L56" s="906"/>
      <c r="M56" s="906"/>
      <c r="N56" s="906"/>
      <c r="O56" s="904" t="s">
        <v>99</v>
      </c>
      <c r="P56" s="907"/>
      <c r="Q56" s="912">
        <f>'BrV(b)'!K8</f>
        <v>0.46208999999999995</v>
      </c>
      <c r="R56" s="912">
        <f>'BrV(b)'!M8</f>
        <v>0.46208999999999995</v>
      </c>
      <c r="S56" s="912">
        <f>'BrV(b)'!O8</f>
        <v>0.46208999999999995</v>
      </c>
      <c r="T56" s="907"/>
      <c r="U56" s="2503"/>
    </row>
    <row r="57" spans="1:21" ht="17.45" customHeight="1" x14ac:dyDescent="0.2">
      <c r="A57" s="2503"/>
      <c r="B57" s="315"/>
      <c r="C57" s="331"/>
      <c r="D57" s="331"/>
      <c r="E57" s="331"/>
      <c r="F57" s="331"/>
      <c r="G57" s="331"/>
      <c r="H57" s="331"/>
      <c r="I57" s="331"/>
      <c r="J57" s="331"/>
      <c r="K57" s="331"/>
      <c r="L57" s="331"/>
      <c r="M57" s="331"/>
      <c r="N57" s="331"/>
      <c r="O57" s="315"/>
      <c r="P57" s="317"/>
      <c r="Q57" s="331"/>
      <c r="R57" s="331"/>
      <c r="S57" s="331"/>
      <c r="T57" s="317"/>
      <c r="U57" s="2503"/>
    </row>
    <row r="58" spans="1:21" ht="51.75" customHeight="1" x14ac:dyDescent="0.2">
      <c r="A58" s="2503"/>
      <c r="B58" s="316"/>
      <c r="C58" s="313" t="s">
        <v>906</v>
      </c>
      <c r="D58" s="306"/>
      <c r="E58" s="306"/>
      <c r="F58" s="306"/>
      <c r="G58" s="306"/>
      <c r="H58" s="306"/>
      <c r="I58" s="306"/>
      <c r="J58" s="306"/>
      <c r="K58" s="306"/>
      <c r="L58" s="306"/>
      <c r="M58" s="306"/>
      <c r="N58" s="306"/>
      <c r="O58" s="316" t="s">
        <v>99</v>
      </c>
      <c r="P58" s="320"/>
      <c r="Q58" s="307">
        <f>Q26/Q6</f>
        <v>0.13498337421282047</v>
      </c>
      <c r="R58" s="307">
        <f>R26/R6</f>
        <v>0.15468417255777772</v>
      </c>
      <c r="S58" s="307">
        <f>S26/S6</f>
        <v>0.16957165929215676</v>
      </c>
      <c r="T58" s="320"/>
      <c r="U58" s="2503"/>
    </row>
    <row r="59" spans="1:21" ht="31.7" customHeight="1" x14ac:dyDescent="0.2">
      <c r="A59" s="2503"/>
      <c r="B59" s="302"/>
      <c r="C59" s="303" t="s">
        <v>47</v>
      </c>
      <c r="D59" s="303"/>
      <c r="E59" s="303"/>
      <c r="F59" s="303"/>
      <c r="G59" s="303"/>
      <c r="H59" s="303"/>
      <c r="I59" s="303"/>
      <c r="J59" s="303"/>
      <c r="K59" s="303"/>
      <c r="L59" s="303"/>
      <c r="M59" s="303"/>
      <c r="N59" s="303"/>
      <c r="O59" s="302"/>
      <c r="P59" s="304"/>
      <c r="Q59" s="305">
        <f>Q27/Q6</f>
        <v>0.12115384615384615</v>
      </c>
      <c r="R59" s="305">
        <f>R27/R6</f>
        <v>0.10966666666666666</v>
      </c>
      <c r="S59" s="305">
        <f>S27/S6</f>
        <v>0.10088235294117646</v>
      </c>
      <c r="T59" s="304"/>
      <c r="U59" s="2503"/>
    </row>
    <row r="60" spans="1:21" ht="31.7" customHeight="1" x14ac:dyDescent="0.2">
      <c r="A60" s="2503"/>
      <c r="B60" s="302"/>
      <c r="C60" s="303" t="s">
        <v>144</v>
      </c>
      <c r="D60" s="303"/>
      <c r="E60" s="303"/>
      <c r="F60" s="303"/>
      <c r="G60" s="303"/>
      <c r="H60" s="303"/>
      <c r="I60" s="303"/>
      <c r="J60" s="303"/>
      <c r="K60" s="303"/>
      <c r="L60" s="303"/>
      <c r="M60" s="303"/>
      <c r="N60" s="303"/>
      <c r="O60" s="302"/>
      <c r="P60" s="304"/>
      <c r="Q60" s="305">
        <f>Q28/Q6</f>
        <v>0.11565213333333332</v>
      </c>
      <c r="R60" s="305">
        <f>R28/R6</f>
        <v>0.10023184888888888</v>
      </c>
      <c r="S60" s="305">
        <f>S28/S6</f>
        <v>8.8439866666666658E-2</v>
      </c>
      <c r="T60" s="304"/>
      <c r="U60" s="2503"/>
    </row>
    <row r="61" spans="1:21" ht="31.7" customHeight="1" x14ac:dyDescent="0.2">
      <c r="A61" s="2503"/>
      <c r="B61" s="302"/>
      <c r="C61" s="303" t="s">
        <v>81</v>
      </c>
      <c r="D61" s="303"/>
      <c r="E61" s="303"/>
      <c r="F61" s="303"/>
      <c r="G61" s="303"/>
      <c r="H61" s="303"/>
      <c r="I61" s="303"/>
      <c r="J61" s="303"/>
      <c r="K61" s="303"/>
      <c r="L61" s="303"/>
      <c r="M61" s="303"/>
      <c r="N61" s="303"/>
      <c r="O61" s="302"/>
      <c r="P61" s="304"/>
      <c r="Q61" s="305">
        <f>Q29/Q6</f>
        <v>1.4327599999999998E-2</v>
      </c>
      <c r="R61" s="305">
        <f>R29/R6</f>
        <v>1.2417253333333333E-2</v>
      </c>
      <c r="S61" s="305">
        <f>S29/S6</f>
        <v>1.0956399999999998E-2</v>
      </c>
      <c r="T61" s="304"/>
      <c r="U61" s="2503"/>
    </row>
    <row r="62" spans="1:21" ht="31.7" hidden="1" customHeight="1" x14ac:dyDescent="0.2">
      <c r="A62" s="2503"/>
      <c r="B62" s="302"/>
      <c r="C62" s="303" t="s">
        <v>895</v>
      </c>
      <c r="D62" s="303"/>
      <c r="E62" s="303"/>
      <c r="F62" s="303"/>
      <c r="G62" s="303"/>
      <c r="H62" s="303"/>
      <c r="I62" s="303"/>
      <c r="J62" s="303"/>
      <c r="K62" s="303"/>
      <c r="L62" s="303"/>
      <c r="M62" s="303"/>
      <c r="N62" s="303"/>
      <c r="O62" s="302"/>
      <c r="P62" s="304"/>
      <c r="Q62" s="305">
        <f>Q30/Q6</f>
        <v>1.8092307692307692E-2</v>
      </c>
      <c r="R62" s="305">
        <f>R30/R6</f>
        <v>1.5679999999999999E-2</v>
      </c>
      <c r="S62" s="305">
        <f>S30/S6</f>
        <v>1.383529411764706E-2</v>
      </c>
      <c r="T62" s="304"/>
      <c r="U62" s="2503"/>
    </row>
    <row r="63" spans="1:21" ht="42" customHeight="1" x14ac:dyDescent="0.2">
      <c r="A63" s="2503"/>
      <c r="B63" s="316"/>
      <c r="C63" s="313" t="s">
        <v>141</v>
      </c>
      <c r="D63" s="306"/>
      <c r="E63" s="306"/>
      <c r="F63" s="306"/>
      <c r="G63" s="306"/>
      <c r="H63" s="306"/>
      <c r="I63" s="306"/>
      <c r="J63" s="306"/>
      <c r="K63" s="306"/>
      <c r="L63" s="306"/>
      <c r="M63" s="306"/>
      <c r="N63" s="306"/>
      <c r="O63" s="316"/>
      <c r="P63" s="320"/>
      <c r="Q63" s="307">
        <f>Q59+Q60+Q62</f>
        <v>0.25489828717948715</v>
      </c>
      <c r="R63" s="307">
        <f>R59+R60+R62</f>
        <v>0.22557851555555555</v>
      </c>
      <c r="S63" s="307">
        <f>S59+S60+S62</f>
        <v>0.20315751372549018</v>
      </c>
      <c r="T63" s="320"/>
      <c r="U63" s="2503"/>
    </row>
    <row r="64" spans="1:21" ht="38.25" customHeight="1" x14ac:dyDescent="0.2">
      <c r="A64" s="2503"/>
      <c r="B64" s="315"/>
      <c r="C64" s="535" t="s">
        <v>147</v>
      </c>
      <c r="D64" s="331"/>
      <c r="E64" s="331"/>
      <c r="F64" s="331"/>
      <c r="G64" s="331"/>
      <c r="H64" s="331"/>
      <c r="I64" s="331"/>
      <c r="J64" s="331"/>
      <c r="K64" s="331"/>
      <c r="L64" s="331"/>
      <c r="M64" s="331"/>
      <c r="N64" s="331"/>
      <c r="O64" s="315"/>
      <c r="P64" s="317"/>
      <c r="Q64" s="536">
        <f>'BrV(b)'!K43/'BrV(Fol)'!Q6</f>
        <v>-0.13424251296666667</v>
      </c>
      <c r="R64" s="536">
        <f>'BrV(b)'!M43/'BrV(Fol)'!R6</f>
        <v>-8.3311596331111015E-2</v>
      </c>
      <c r="S64" s="536">
        <f>'BrV(b)'!O43/'BrV(Fol)'!S55</f>
        <v>-4.4542254433333414E-2</v>
      </c>
      <c r="T64" s="317"/>
      <c r="U64" s="2503"/>
    </row>
    <row r="65" spans="1:21" ht="25.5" customHeight="1" x14ac:dyDescent="0.2">
      <c r="A65" s="2503"/>
      <c r="B65" s="302"/>
      <c r="C65" s="85" t="s">
        <v>148</v>
      </c>
      <c r="D65" s="303"/>
      <c r="E65" s="303"/>
      <c r="F65" s="303"/>
      <c r="G65" s="303"/>
      <c r="H65" s="303"/>
      <c r="I65" s="303"/>
      <c r="J65" s="303"/>
      <c r="K65" s="303"/>
      <c r="L65" s="303"/>
      <c r="M65" s="303"/>
      <c r="N65" s="303"/>
      <c r="O65" s="302"/>
      <c r="P65" s="304"/>
      <c r="Q65" s="322"/>
      <c r="R65" s="322"/>
      <c r="S65" s="322"/>
      <c r="T65" s="304"/>
      <c r="U65" s="2503"/>
    </row>
    <row r="66" spans="1:21" ht="31.7" customHeight="1" x14ac:dyDescent="0.2">
      <c r="A66" s="2503"/>
      <c r="B66" s="315"/>
      <c r="C66" s="538" t="s">
        <v>165</v>
      </c>
      <c r="D66" s="331"/>
      <c r="E66" s="331"/>
      <c r="F66" s="331"/>
      <c r="G66" s="331"/>
      <c r="H66" s="331"/>
      <c r="I66" s="331"/>
      <c r="J66" s="331"/>
      <c r="K66" s="331"/>
      <c r="L66" s="331"/>
      <c r="M66" s="331"/>
      <c r="N66" s="317"/>
      <c r="O66" s="315"/>
      <c r="P66" s="317"/>
      <c r="Q66" s="331"/>
      <c r="R66" s="331"/>
      <c r="S66" s="331"/>
      <c r="T66" s="317"/>
      <c r="U66" s="2503"/>
    </row>
    <row r="67" spans="1:21" ht="31.7" customHeight="1" x14ac:dyDescent="0.2">
      <c r="A67" s="2503"/>
      <c r="B67" s="302"/>
      <c r="C67" s="321"/>
      <c r="D67" s="303"/>
      <c r="E67" s="303" t="s">
        <v>1506</v>
      </c>
      <c r="F67" s="303"/>
      <c r="G67" s="303"/>
      <c r="H67" s="303"/>
      <c r="I67" s="303"/>
      <c r="J67" s="303"/>
      <c r="K67" s="303"/>
      <c r="L67" s="303"/>
      <c r="M67" s="303"/>
      <c r="N67" s="3809" t="s">
        <v>1064</v>
      </c>
      <c r="O67" s="302"/>
      <c r="P67" s="304"/>
      <c r="Q67" s="322">
        <f>'BrV(b)'!L55</f>
        <v>0.54459590225266363</v>
      </c>
      <c r="R67" s="322">
        <f>'BrV(b)'!N55</f>
        <v>0.49808364961745305</v>
      </c>
      <c r="S67" s="322">
        <f>'BrV(b)'!P55</f>
        <v>0.46267785792998484</v>
      </c>
      <c r="T67" s="304"/>
      <c r="U67" s="2503"/>
    </row>
    <row r="68" spans="1:21" ht="31.7" customHeight="1" x14ac:dyDescent="0.2">
      <c r="A68" s="2503"/>
      <c r="B68" s="316"/>
      <c r="C68" s="347"/>
      <c r="D68" s="306"/>
      <c r="E68" s="306"/>
      <c r="F68" s="306"/>
      <c r="G68" s="306"/>
      <c r="H68" s="306"/>
      <c r="I68" s="306"/>
      <c r="J68" s="306"/>
      <c r="K68" s="306"/>
      <c r="L68" s="306"/>
      <c r="M68" s="306"/>
      <c r="N68" s="3810" t="str">
        <f>IF(Stammdaten!$AH$13=1,"mit Mwst.","")</f>
        <v>mit Mwst.</v>
      </c>
      <c r="O68" s="316"/>
      <c r="P68" s="320"/>
      <c r="Q68" s="540">
        <f>'BrV(b)'!L56</f>
        <v>0.59633251296666667</v>
      </c>
      <c r="R68" s="540">
        <f>'BrV(b)'!N56</f>
        <v>0.54540159633111118</v>
      </c>
      <c r="S68" s="540">
        <f>'BrV(b)'!P56</f>
        <v>0.50663225443333337</v>
      </c>
      <c r="T68" s="320"/>
      <c r="U68" s="2503"/>
    </row>
    <row r="69" spans="1:21" ht="19.149999999999999" customHeight="1" x14ac:dyDescent="0.2">
      <c r="A69" s="2503"/>
      <c r="B69" s="331"/>
      <c r="C69" s="18"/>
      <c r="D69" s="331"/>
      <c r="E69" s="538"/>
      <c r="F69" s="331"/>
      <c r="G69" s="331"/>
      <c r="H69" s="331"/>
      <c r="I69" s="18"/>
      <c r="J69" s="18"/>
      <c r="K69" s="18"/>
      <c r="L69" s="18"/>
      <c r="M69" s="18"/>
      <c r="N69" s="18"/>
      <c r="O69" s="18"/>
      <c r="P69" s="18"/>
      <c r="Q69" s="539"/>
      <c r="R69" s="539"/>
      <c r="S69" s="539"/>
      <c r="T69" s="331"/>
      <c r="U69" s="2503"/>
    </row>
    <row r="70" spans="1:21" ht="32.25" customHeight="1" x14ac:dyDescent="0.2">
      <c r="A70" s="2503"/>
      <c r="B70" s="3075"/>
      <c r="C70" s="3102" t="s">
        <v>154</v>
      </c>
      <c r="D70" s="3102" t="s">
        <v>862</v>
      </c>
      <c r="E70" s="3087"/>
      <c r="F70" s="3087"/>
      <c r="G70" s="3089"/>
      <c r="H70" s="3089"/>
      <c r="I70" s="3089"/>
      <c r="J70" s="3089"/>
      <c r="K70" s="3089"/>
      <c r="L70" s="3089"/>
      <c r="M70" s="3089"/>
      <c r="N70" s="3089"/>
      <c r="O70" s="3089"/>
      <c r="P70" s="3089"/>
      <c r="Q70" s="3090"/>
      <c r="R70" s="3091"/>
      <c r="S70" s="3092" t="str">
        <f>'BrV(b)'!P2</f>
        <v>Milchkuh; Braunvieh</v>
      </c>
      <c r="T70" s="3807"/>
      <c r="U70" s="2503"/>
    </row>
    <row r="71" spans="1:21" ht="27.75" customHeight="1" x14ac:dyDescent="0.2">
      <c r="A71" s="2503"/>
      <c r="B71" s="3081"/>
      <c r="C71" s="3094" t="s">
        <v>95</v>
      </c>
      <c r="D71" s="3093" t="s">
        <v>156</v>
      </c>
      <c r="E71" s="3095"/>
      <c r="F71" s="3095"/>
      <c r="G71" s="3095"/>
      <c r="H71" s="3095"/>
      <c r="I71" s="3095"/>
      <c r="J71" s="3095"/>
      <c r="K71" s="3095"/>
      <c r="L71" s="3095"/>
      <c r="M71" s="3095"/>
      <c r="N71" s="3095"/>
      <c r="O71" s="3095"/>
      <c r="P71" s="3095"/>
      <c r="Q71" s="3096" t="str">
        <f>Q4</f>
        <v xml:space="preserve">  Kalenderjahr:</v>
      </c>
      <c r="R71" s="3095"/>
      <c r="S71" s="3095">
        <f>'BrV(b)'!P4</f>
        <v>2022</v>
      </c>
      <c r="T71" s="3808"/>
      <c r="U71" s="2503"/>
    </row>
    <row r="72" spans="1:21" s="4" customFormat="1" ht="7.5" customHeight="1" x14ac:dyDescent="0.2">
      <c r="A72" s="2503"/>
      <c r="B72" s="323"/>
      <c r="C72" s="20"/>
      <c r="D72" s="20"/>
      <c r="E72" s="20"/>
      <c r="F72" s="20"/>
      <c r="G72" s="20"/>
      <c r="H72" s="20"/>
      <c r="I72" s="20"/>
      <c r="J72" s="20"/>
      <c r="K72" s="20"/>
      <c r="L72" s="20"/>
      <c r="M72" s="20"/>
      <c r="N72" s="20"/>
      <c r="O72" s="20"/>
      <c r="P72" s="20"/>
      <c r="Q72" s="20"/>
      <c r="R72" s="20"/>
      <c r="S72" s="20"/>
      <c r="T72" s="309"/>
      <c r="U72" s="2503"/>
    </row>
    <row r="73" spans="1:21" ht="30.2" customHeight="1" x14ac:dyDescent="0.2">
      <c r="A73" s="2503"/>
      <c r="B73" s="898"/>
      <c r="C73" s="899" t="s">
        <v>1077</v>
      </c>
      <c r="D73" s="900"/>
      <c r="E73" s="900"/>
      <c r="F73" s="900"/>
      <c r="G73" s="900"/>
      <c r="H73" s="900"/>
      <c r="I73" s="900"/>
      <c r="J73" s="900"/>
      <c r="K73" s="900"/>
      <c r="L73" s="900"/>
      <c r="M73" s="900"/>
      <c r="N73" s="900"/>
      <c r="O73" s="898" t="s">
        <v>98</v>
      </c>
      <c r="P73" s="902"/>
      <c r="Q73" s="903">
        <f>'BrV(b)'!K7</f>
        <v>6500</v>
      </c>
      <c r="R73" s="903">
        <f>'BrV(b)'!M7</f>
        <v>7500</v>
      </c>
      <c r="S73" s="903">
        <f>'BrV(b)'!O7</f>
        <v>8500</v>
      </c>
      <c r="T73" s="902"/>
      <c r="U73" s="2503"/>
    </row>
    <row r="74" spans="1:21" ht="30.2" customHeight="1" x14ac:dyDescent="0.2">
      <c r="A74" s="2503"/>
      <c r="B74" s="904"/>
      <c r="C74" s="911" t="str">
        <f>C7</f>
        <v>Milchpreis  (inkl. Mwst. )</v>
      </c>
      <c r="D74" s="906"/>
      <c r="E74" s="906"/>
      <c r="F74" s="906"/>
      <c r="G74" s="906"/>
      <c r="H74" s="906"/>
      <c r="I74" s="906"/>
      <c r="J74" s="906"/>
      <c r="K74" s="906"/>
      <c r="L74" s="906"/>
      <c r="M74" s="906"/>
      <c r="N74" s="906"/>
      <c r="O74" s="904" t="s">
        <v>99</v>
      </c>
      <c r="P74" s="907"/>
      <c r="Q74" s="912">
        <f>'BrV(b)'!K8</f>
        <v>0.46208999999999995</v>
      </c>
      <c r="R74" s="912">
        <f>'BrV(b)'!M8</f>
        <v>0.46208999999999995</v>
      </c>
      <c r="S74" s="912">
        <f>'BrV(b)'!O8</f>
        <v>0.46208999999999995</v>
      </c>
      <c r="T74" s="907"/>
      <c r="U74" s="2503"/>
    </row>
    <row r="75" spans="1:21" ht="38.25" customHeight="1" x14ac:dyDescent="0.2">
      <c r="A75" s="2503"/>
      <c r="B75" s="302"/>
      <c r="C75" s="333" t="s">
        <v>157</v>
      </c>
      <c r="D75" s="303"/>
      <c r="E75" s="3"/>
      <c r="F75" s="346" t="s">
        <v>158</v>
      </c>
      <c r="G75" s="303" t="s">
        <v>159</v>
      </c>
      <c r="H75"/>
      <c r="I75" s="303"/>
      <c r="J75" s="303"/>
      <c r="K75" s="303"/>
      <c r="L75" s="303"/>
      <c r="M75" s="303"/>
      <c r="N75" s="303"/>
      <c r="O75" s="302" t="s">
        <v>160</v>
      </c>
      <c r="P75" s="304"/>
      <c r="Q75" s="530">
        <f>'BrV(b)'!K48</f>
        <v>0.77057304715017838</v>
      </c>
      <c r="R75" s="530">
        <f>'BrV(b)'!M48</f>
        <v>6.0011535817842416</v>
      </c>
      <c r="S75" s="530">
        <f>'BrV(b)'!O48</f>
        <v>10.796772988195082</v>
      </c>
      <c r="T75" s="304"/>
      <c r="U75" s="2503"/>
    </row>
    <row r="76" spans="1:21" s="359" customFormat="1" ht="38.25" customHeight="1" x14ac:dyDescent="0.2">
      <c r="A76" s="2503"/>
      <c r="B76" s="355"/>
      <c r="C76" s="356" t="s">
        <v>244</v>
      </c>
      <c r="D76" s="15"/>
      <c r="E76" s="357"/>
      <c r="F76" s="357"/>
      <c r="G76" s="357"/>
      <c r="H76" s="357"/>
      <c r="I76" s="357"/>
      <c r="J76" s="357"/>
      <c r="K76" s="357"/>
      <c r="L76" s="357"/>
      <c r="M76" s="357"/>
      <c r="N76" s="357"/>
      <c r="O76" s="355"/>
      <c r="P76" s="358"/>
      <c r="Q76" s="357"/>
      <c r="R76" s="357"/>
      <c r="S76" s="357"/>
      <c r="T76" s="358"/>
      <c r="U76" s="2503"/>
    </row>
    <row r="77" spans="1:21" ht="38.25" customHeight="1" x14ac:dyDescent="0.2">
      <c r="A77" s="2503"/>
      <c r="B77" s="302"/>
      <c r="C77" s="333" t="s">
        <v>161</v>
      </c>
      <c r="D77" s="303"/>
      <c r="E77" s="434"/>
      <c r="F77" s="346" t="s">
        <v>158</v>
      </c>
      <c r="G77" s="303" t="s">
        <v>162</v>
      </c>
      <c r="H77"/>
      <c r="I77" s="333"/>
      <c r="J77" s="303"/>
      <c r="K77" s="303"/>
      <c r="L77" s="303"/>
      <c r="M77" s="303"/>
      <c r="N77" s="303"/>
      <c r="O77" s="302" t="s">
        <v>163</v>
      </c>
      <c r="P77" s="304"/>
      <c r="Q77" s="334">
        <f>'BrV(b)'!K49</f>
        <v>-120.8374676166668</v>
      </c>
      <c r="R77" s="334">
        <f>'BrV(b)'!M49</f>
        <v>126.90189418333398</v>
      </c>
      <c r="S77" s="334">
        <f>'BrV(b)'!O49</f>
        <v>373.12970398333255</v>
      </c>
      <c r="T77" s="304"/>
      <c r="U77" s="2503"/>
    </row>
    <row r="78" spans="1:21" s="359" customFormat="1" ht="38.25" customHeight="1" x14ac:dyDescent="0.2">
      <c r="A78" s="2503"/>
      <c r="B78" s="355"/>
      <c r="C78" s="356" t="s">
        <v>171</v>
      </c>
      <c r="D78" s="15"/>
      <c r="E78" s="357"/>
      <c r="F78" s="357"/>
      <c r="G78" s="357"/>
      <c r="H78" s="357"/>
      <c r="I78" s="357"/>
      <c r="J78" s="357"/>
      <c r="K78" s="357"/>
      <c r="L78" s="357"/>
      <c r="M78" s="357"/>
      <c r="N78" s="357"/>
      <c r="O78" s="355"/>
      <c r="P78" s="358"/>
      <c r="Q78" s="357"/>
      <c r="R78" s="357"/>
      <c r="S78" s="357"/>
      <c r="T78" s="358"/>
      <c r="U78" s="2503"/>
    </row>
    <row r="79" spans="1:21" ht="42" customHeight="1" x14ac:dyDescent="0.35">
      <c r="A79" s="2503"/>
      <c r="B79" s="315"/>
      <c r="C79" s="351" t="s">
        <v>165</v>
      </c>
      <c r="D79" s="331"/>
      <c r="E79" s="331"/>
      <c r="F79" s="331"/>
      <c r="G79" s="331"/>
      <c r="H79" s="331"/>
      <c r="I79" s="331"/>
      <c r="J79" s="331"/>
      <c r="K79" s="331"/>
      <c r="L79" s="331"/>
      <c r="M79" s="331"/>
      <c r="N79" s="331"/>
      <c r="O79" s="348"/>
      <c r="P79" s="317"/>
      <c r="Q79" s="331"/>
      <c r="R79" s="331"/>
      <c r="S79" s="331"/>
      <c r="T79" s="317"/>
      <c r="U79" s="2503"/>
    </row>
    <row r="80" spans="1:21" ht="33" customHeight="1" x14ac:dyDescent="0.2">
      <c r="A80" s="2503"/>
      <c r="B80" s="302"/>
      <c r="C80" s="321" t="s">
        <v>168</v>
      </c>
      <c r="D80" s="303"/>
      <c r="E80" s="303"/>
      <c r="F80" s="303"/>
      <c r="G80" s="303"/>
      <c r="H80" s="303"/>
      <c r="I80" s="303"/>
      <c r="J80" s="303"/>
      <c r="K80" s="303"/>
      <c r="L80" s="303"/>
      <c r="M80" s="303"/>
      <c r="N80" s="3135" t="s">
        <v>1064</v>
      </c>
      <c r="O80" s="302" t="s">
        <v>99</v>
      </c>
      <c r="P80" s="304"/>
      <c r="Q80" s="3137">
        <f>'BrV(b)'!L55</f>
        <v>0.54459590225266363</v>
      </c>
      <c r="R80" s="3138">
        <f>'BrV(b)'!N55</f>
        <v>0.49808364961745305</v>
      </c>
      <c r="S80" s="3138">
        <f>'BrV(b)'!P55</f>
        <v>0.46267785792998484</v>
      </c>
      <c r="T80" s="304"/>
      <c r="U80" s="2503"/>
    </row>
    <row r="81" spans="1:21" ht="32.65" customHeight="1" x14ac:dyDescent="0.2">
      <c r="A81" s="2503"/>
      <c r="B81" s="641"/>
      <c r="C81" s="16"/>
      <c r="D81" s="16"/>
      <c r="E81" s="16"/>
      <c r="F81" s="16"/>
      <c r="G81" s="16"/>
      <c r="H81" s="16"/>
      <c r="I81" s="16"/>
      <c r="J81" s="16"/>
      <c r="K81" s="16"/>
      <c r="L81" s="16"/>
      <c r="M81" s="16"/>
      <c r="N81" s="3136" t="str">
        <f>IF(Stammdaten!$AH$13=1,"mit Mwst.","")</f>
        <v>mit Mwst.</v>
      </c>
      <c r="O81" s="641"/>
      <c r="P81" s="25"/>
      <c r="Q81" s="3804">
        <f>'BrV(b)'!L56</f>
        <v>0.59633251296666667</v>
      </c>
      <c r="R81" s="307">
        <f>'BrV(b)'!N56</f>
        <v>0.54540159633111118</v>
      </c>
      <c r="S81" s="307">
        <f>'BrV(b)'!P56</f>
        <v>0.50663225443333337</v>
      </c>
      <c r="T81" s="320"/>
      <c r="U81" s="2503"/>
    </row>
    <row r="82" spans="1:21" ht="32.25" customHeight="1" x14ac:dyDescent="0.2">
      <c r="A82" s="2503"/>
      <c r="B82" s="3075"/>
      <c r="C82" s="3102" t="s">
        <v>154</v>
      </c>
      <c r="D82" s="3102" t="s">
        <v>862</v>
      </c>
      <c r="E82" s="3089"/>
      <c r="F82" s="3089"/>
      <c r="G82" s="3089"/>
      <c r="H82" s="3089"/>
      <c r="I82" s="3089"/>
      <c r="J82" s="3089"/>
      <c r="K82" s="3089"/>
      <c r="L82" s="3089"/>
      <c r="M82" s="3089"/>
      <c r="N82" s="3089"/>
      <c r="O82" s="3089"/>
      <c r="P82" s="3089"/>
      <c r="Q82" s="3090"/>
      <c r="R82" s="3091"/>
      <c r="S82" s="3092" t="str">
        <f>'BrV(b)'!P2</f>
        <v>Milchkuh; Braunvieh</v>
      </c>
      <c r="T82" s="3807"/>
      <c r="U82" s="2503"/>
    </row>
    <row r="83" spans="1:21" ht="27" customHeight="1" x14ac:dyDescent="0.2">
      <c r="A83" s="2503"/>
      <c r="B83" s="3081"/>
      <c r="C83" s="3094" t="s">
        <v>149</v>
      </c>
      <c r="D83" s="3093" t="s">
        <v>169</v>
      </c>
      <c r="E83" s="3095"/>
      <c r="F83" s="3095"/>
      <c r="G83" s="3095"/>
      <c r="H83" s="3095"/>
      <c r="I83" s="3095"/>
      <c r="J83" s="3095"/>
      <c r="K83" s="3095"/>
      <c r="L83" s="3095"/>
      <c r="M83" s="3095"/>
      <c r="N83" s="3095"/>
      <c r="O83" s="3095"/>
      <c r="P83" s="3095"/>
      <c r="Q83" s="3096" t="str">
        <f>Q4</f>
        <v xml:space="preserve">  Kalenderjahr:</v>
      </c>
      <c r="R83" s="3095"/>
      <c r="S83" s="3095">
        <f>'BrV(b)'!P4</f>
        <v>2022</v>
      </c>
      <c r="T83" s="3808"/>
      <c r="U83" s="2503"/>
    </row>
    <row r="84" spans="1:21" ht="27" customHeight="1" x14ac:dyDescent="0.2">
      <c r="A84" s="2503"/>
      <c r="B84" s="3081"/>
      <c r="C84" s="3095"/>
      <c r="D84" s="3103" t="s">
        <v>142</v>
      </c>
      <c r="E84" s="3095"/>
      <c r="F84" s="3095"/>
      <c r="G84" s="3095"/>
      <c r="H84" s="3095"/>
      <c r="I84" s="3095"/>
      <c r="J84" s="3095"/>
      <c r="K84" s="3095"/>
      <c r="L84" s="3095"/>
      <c r="M84" s="3095"/>
      <c r="N84" s="3095"/>
      <c r="O84" s="3095"/>
      <c r="P84" s="3095"/>
      <c r="Q84" s="3095"/>
      <c r="R84" s="3095"/>
      <c r="S84" s="3095"/>
      <c r="T84" s="3808"/>
      <c r="U84" s="2503"/>
    </row>
    <row r="85" spans="1:21" s="4" customFormat="1" ht="12.75" x14ac:dyDescent="0.2">
      <c r="A85" s="2503"/>
      <c r="B85" s="101"/>
      <c r="C85" s="3"/>
      <c r="D85" s="3"/>
      <c r="E85" s="3"/>
      <c r="F85" s="3"/>
      <c r="G85" s="3"/>
      <c r="H85" s="3"/>
      <c r="I85" s="3"/>
      <c r="J85" s="3"/>
      <c r="K85" s="3"/>
      <c r="L85" s="3"/>
      <c r="M85" s="3"/>
      <c r="N85" s="3"/>
      <c r="O85" s="3"/>
      <c r="P85" s="3"/>
      <c r="Q85" s="3"/>
      <c r="R85" s="3"/>
      <c r="S85" s="3"/>
      <c r="T85" s="349"/>
      <c r="U85" s="2503"/>
    </row>
    <row r="86" spans="1:21" ht="30.2" customHeight="1" x14ac:dyDescent="0.2">
      <c r="A86" s="2503"/>
      <c r="B86" s="898"/>
      <c r="C86" s="899" t="s">
        <v>1077</v>
      </c>
      <c r="D86" s="900"/>
      <c r="E86" s="900"/>
      <c r="F86" s="900"/>
      <c r="G86" s="900"/>
      <c r="H86" s="900"/>
      <c r="I86" s="900"/>
      <c r="J86" s="900"/>
      <c r="K86" s="900"/>
      <c r="L86" s="900"/>
      <c r="M86" s="900"/>
      <c r="N86" s="900"/>
      <c r="O86" s="898" t="s">
        <v>98</v>
      </c>
      <c r="P86" s="902"/>
      <c r="Q86" s="903">
        <f>'BrV(b)'!K7</f>
        <v>6500</v>
      </c>
      <c r="R86" s="903">
        <f>'BrV(b)'!M7</f>
        <v>7500</v>
      </c>
      <c r="S86" s="903">
        <f>'BrV(b)'!O7</f>
        <v>8500</v>
      </c>
      <c r="T86" s="902"/>
      <c r="U86" s="2503"/>
    </row>
    <row r="87" spans="1:21" ht="30.2" customHeight="1" x14ac:dyDescent="0.2">
      <c r="A87" s="2503"/>
      <c r="B87" s="904"/>
      <c r="C87" s="911" t="str">
        <f>C7</f>
        <v>Milchpreis  (inkl. Mwst. )</v>
      </c>
      <c r="D87" s="906"/>
      <c r="E87" s="906"/>
      <c r="F87" s="906"/>
      <c r="G87" s="906"/>
      <c r="H87" s="906"/>
      <c r="I87" s="906"/>
      <c r="J87" s="906"/>
      <c r="K87" s="906"/>
      <c r="L87" s="906"/>
      <c r="M87" s="906"/>
      <c r="N87" s="906"/>
      <c r="O87" s="904" t="s">
        <v>99</v>
      </c>
      <c r="P87" s="907"/>
      <c r="Q87" s="912">
        <f>'BrV(b)'!K8</f>
        <v>0.46208999999999995</v>
      </c>
      <c r="R87" s="912">
        <f>'BrV(b)'!M8</f>
        <v>0.46208999999999995</v>
      </c>
      <c r="S87" s="912">
        <f>'BrV(b)'!O8</f>
        <v>0.46208999999999995</v>
      </c>
      <c r="T87" s="907"/>
      <c r="U87" s="2503"/>
    </row>
    <row r="88" spans="1:21" x14ac:dyDescent="0.2">
      <c r="A88" s="2503"/>
      <c r="B88" s="315"/>
      <c r="C88" s="331"/>
      <c r="D88" s="331"/>
      <c r="E88" s="331"/>
      <c r="F88" s="331"/>
      <c r="G88" s="331"/>
      <c r="H88" s="331"/>
      <c r="I88" s="331"/>
      <c r="J88" s="331"/>
      <c r="K88" s="331"/>
      <c r="L88" s="331"/>
      <c r="M88" s="331"/>
      <c r="N88" s="331"/>
      <c r="O88" s="315"/>
      <c r="P88" s="317"/>
      <c r="Q88" s="331"/>
      <c r="R88" s="331"/>
      <c r="S88" s="331"/>
      <c r="T88" s="317"/>
      <c r="U88" s="2503"/>
    </row>
    <row r="89" spans="1:21" ht="38.25" customHeight="1" x14ac:dyDescent="0.2">
      <c r="A89" s="2503"/>
      <c r="B89" s="302"/>
      <c r="C89" s="333" t="s">
        <v>157</v>
      </c>
      <c r="D89" s="303"/>
      <c r="E89" s="3"/>
      <c r="F89" s="350" t="s">
        <v>158</v>
      </c>
      <c r="G89" s="303" t="s">
        <v>159</v>
      </c>
      <c r="H89"/>
      <c r="I89" s="303"/>
      <c r="J89" s="303"/>
      <c r="K89" s="303"/>
      <c r="L89" s="303"/>
      <c r="M89" s="303"/>
      <c r="N89" s="303"/>
      <c r="O89" s="302" t="s">
        <v>160</v>
      </c>
      <c r="P89" s="304"/>
      <c r="Q89" s="530">
        <f>('BrV(b)'!K43+'BrV(b)'!Y37+'BrV(b)'!K37+'BrV(b)'!K38)/'BrV(b)'!X37</f>
        <v>15.183249581458428</v>
      </c>
      <c r="R89" s="530">
        <f>('BrV(b)'!M43+'BrV(b)'!AA37+'BrV(b)'!M37+'BrV(b)'!M38)/'BrV(b)'!Z37</f>
        <v>19.835369793492411</v>
      </c>
      <c r="S89" s="530">
        <f>('BrV(b)'!O43+'BrV(b)'!AC37+'BrV(b)'!O37+'BrV(b)'!O38)/'BrV(b)'!AB37</f>
        <v>24.106213893296108</v>
      </c>
      <c r="T89" s="304"/>
      <c r="U89" s="2503"/>
    </row>
    <row r="90" spans="1:21" s="359" customFormat="1" ht="38.25" customHeight="1" x14ac:dyDescent="0.2">
      <c r="A90" s="2503"/>
      <c r="B90" s="355"/>
      <c r="C90" s="356" t="s">
        <v>170</v>
      </c>
      <c r="D90" s="15"/>
      <c r="E90" s="357"/>
      <c r="F90" s="357"/>
      <c r="G90" s="357"/>
      <c r="H90" s="357"/>
      <c r="I90" s="357"/>
      <c r="J90" s="357"/>
      <c r="K90" s="357"/>
      <c r="L90" s="357"/>
      <c r="M90" s="357"/>
      <c r="N90" s="357"/>
      <c r="O90" s="355"/>
      <c r="P90" s="358"/>
      <c r="Q90" s="357"/>
      <c r="R90" s="357"/>
      <c r="S90" s="357"/>
      <c r="T90" s="358"/>
      <c r="U90" s="2503"/>
    </row>
    <row r="91" spans="1:21" s="4" customFormat="1" ht="44.45" customHeight="1" x14ac:dyDescent="0.35">
      <c r="A91" s="2503"/>
      <c r="B91" s="348"/>
      <c r="C91" s="351" t="s">
        <v>165</v>
      </c>
      <c r="D91" s="331"/>
      <c r="E91" s="331"/>
      <c r="F91" s="331"/>
      <c r="G91" s="331"/>
      <c r="H91" s="331"/>
      <c r="I91" s="331"/>
      <c r="J91" s="331"/>
      <c r="K91" s="331"/>
      <c r="L91" s="331"/>
      <c r="M91" s="331"/>
      <c r="N91" s="331"/>
      <c r="O91" s="348"/>
      <c r="P91" s="317"/>
      <c r="Q91" s="331"/>
      <c r="R91" s="331"/>
      <c r="S91" s="331"/>
      <c r="T91" s="345"/>
      <c r="U91" s="2503"/>
    </row>
    <row r="92" spans="1:21" s="4" customFormat="1" ht="44.45" customHeight="1" x14ac:dyDescent="0.2">
      <c r="A92" s="2503"/>
      <c r="B92" s="101"/>
      <c r="C92" s="321" t="s">
        <v>1511</v>
      </c>
      <c r="D92" s="303"/>
      <c r="E92" s="303"/>
      <c r="F92" s="303"/>
      <c r="G92" s="303"/>
      <c r="H92" s="303"/>
      <c r="I92" s="303"/>
      <c r="J92" s="303"/>
      <c r="K92" s="303"/>
      <c r="L92" s="303"/>
      <c r="M92" s="303"/>
      <c r="N92" s="3135" t="s">
        <v>1064</v>
      </c>
      <c r="O92" s="302" t="s">
        <v>99</v>
      </c>
      <c r="P92" s="304"/>
      <c r="Q92" s="530">
        <f>(('BrV(b)'!K52-('BrV(b)'!K37+'BrV(b)'!K38)-'BrV(b)'!K53)/'BrV(b)'!K7)/Stammdaten!S7</f>
        <v>0.43897751564687981</v>
      </c>
      <c r="R92" s="530">
        <f>(('BrV(b)'!M52-('BrV(b)'!M37+'BrV(b)'!M38)-'BrV(b)'!M53)/'BrV(b)'!M7)/Stammdaten!S7</f>
        <v>0.4065477145591071</v>
      </c>
      <c r="S92" s="530">
        <f>(('BrV(b)'!O52-('BrV(b)'!O37+'BrV(b)'!O38)-'BrV(b)'!O53)/'BrV(b)'!O7)/Stammdaten!S7</f>
        <v>0.38191085640791483</v>
      </c>
      <c r="T92" s="349"/>
      <c r="U92" s="2503"/>
    </row>
    <row r="93" spans="1:21" s="4" customFormat="1" ht="33" customHeight="1" x14ac:dyDescent="0.2">
      <c r="A93" s="2503"/>
      <c r="B93" s="323"/>
      <c r="C93" s="20"/>
      <c r="D93" s="20"/>
      <c r="E93" s="20"/>
      <c r="F93" s="20"/>
      <c r="G93" s="20"/>
      <c r="H93" s="20"/>
      <c r="I93" s="20"/>
      <c r="J93" s="20"/>
      <c r="K93" s="20"/>
      <c r="L93" s="20"/>
      <c r="M93" s="20"/>
      <c r="N93" s="3136" t="str">
        <f>IF(Stammdaten!$AH$13=1,"mit Mwst.","")</f>
        <v>mit Mwst.</v>
      </c>
      <c r="O93" s="323"/>
      <c r="P93" s="309"/>
      <c r="Q93" s="307">
        <f>IF(Stammdaten!AH13=1,('BrV(b)'!K52-('BrV(b)'!K37+'BrV(b)'!K38)-'BrV(b)'!K53)/'BrV(b)'!K7,"")</f>
        <v>0.48068037963333338</v>
      </c>
      <c r="R93" s="307">
        <f>IF(Stammdaten!AH13=1,('BrV(b)'!M52-('BrV(b)'!M37+'BrV(b)'!M38)-'BrV(b)'!M53)/'BrV(b)'!M7,"")</f>
        <v>0.44516974744222226</v>
      </c>
      <c r="S93" s="307">
        <f>IF(Stammdaten!AH13=1,('BrV(b)'!O52-('BrV(b)'!O37+'BrV(b)'!O38)-'BrV(b)'!O53)/'BrV(b)'!O7,"")</f>
        <v>0.41819238776666673</v>
      </c>
      <c r="T93" s="309"/>
      <c r="U93" s="2503"/>
    </row>
    <row r="94" spans="1:21" s="4" customFormat="1" ht="12.75" x14ac:dyDescent="0.2">
      <c r="A94" s="2503"/>
      <c r="B94" s="2503"/>
      <c r="C94" s="2503"/>
      <c r="D94" s="2503"/>
      <c r="E94" s="2503"/>
      <c r="F94" s="2503"/>
      <c r="G94" s="2503"/>
      <c r="H94" s="2503"/>
      <c r="I94" s="2503"/>
      <c r="J94" s="2503"/>
      <c r="K94" s="2503"/>
      <c r="L94" s="2503"/>
      <c r="M94" s="2503"/>
      <c r="N94" s="2503"/>
      <c r="O94" s="2503"/>
      <c r="P94" s="2503"/>
      <c r="Q94" s="2503"/>
      <c r="R94" s="2503"/>
      <c r="S94" s="2503"/>
      <c r="T94" s="2503"/>
      <c r="U94" s="2503"/>
    </row>
    <row r="95" spans="1:21" s="4" customFormat="1" ht="12.75" x14ac:dyDescent="0.2"/>
    <row r="96" spans="1:21" s="4" customFormat="1" ht="12.75" x14ac:dyDescent="0.2"/>
    <row r="97" s="4" customFormat="1" ht="12.75" x14ac:dyDescent="0.2"/>
    <row r="98" s="4" customFormat="1" ht="12.75" x14ac:dyDescent="0.2"/>
    <row r="99" s="4" customFormat="1" ht="12.75" x14ac:dyDescent="0.2"/>
    <row r="100" s="4" customFormat="1" ht="12.75" x14ac:dyDescent="0.2"/>
    <row r="101" s="4" customFormat="1" ht="12.75" x14ac:dyDescent="0.2"/>
    <row r="102" s="4" customFormat="1" ht="12.75" x14ac:dyDescent="0.2"/>
    <row r="103" s="4" customFormat="1" ht="12.75" x14ac:dyDescent="0.2"/>
    <row r="104" s="4" customFormat="1" ht="12.75" x14ac:dyDescent="0.2"/>
    <row r="105" s="4" customFormat="1" ht="12.75" x14ac:dyDescent="0.2"/>
    <row r="106" s="4" customFormat="1" ht="12.75" x14ac:dyDescent="0.2"/>
    <row r="107" s="4" customFormat="1" ht="12.75" x14ac:dyDescent="0.2"/>
    <row r="108" s="4" customFormat="1" ht="12.75" x14ac:dyDescent="0.2"/>
    <row r="109" s="4" customFormat="1" ht="12.75" x14ac:dyDescent="0.2"/>
    <row r="110" s="4" customFormat="1" ht="12.75" x14ac:dyDescent="0.2"/>
    <row r="111" s="4" customFormat="1" ht="12.75" x14ac:dyDescent="0.2"/>
    <row r="112" s="4" customFormat="1" ht="12.75" x14ac:dyDescent="0.2"/>
    <row r="113" s="4" customFormat="1" ht="12.75" x14ac:dyDescent="0.2"/>
    <row r="114" s="4" customFormat="1" ht="12.75" x14ac:dyDescent="0.2"/>
    <row r="115" s="4" customFormat="1" ht="12.75" x14ac:dyDescent="0.2"/>
    <row r="116" s="4" customFormat="1" ht="12.75" x14ac:dyDescent="0.2"/>
    <row r="117" s="4" customFormat="1" ht="12.75" x14ac:dyDescent="0.2"/>
    <row r="118" s="4" customFormat="1" ht="12.75" x14ac:dyDescent="0.2"/>
    <row r="119" s="4" customFormat="1" ht="12.75" x14ac:dyDescent="0.2"/>
    <row r="120" s="4" customFormat="1" ht="12.75" x14ac:dyDescent="0.2"/>
    <row r="121" s="4" customFormat="1" ht="12.75" x14ac:dyDescent="0.2"/>
    <row r="122" s="4" customFormat="1" ht="12.75" x14ac:dyDescent="0.2"/>
    <row r="123" s="4" customFormat="1" ht="12.75" x14ac:dyDescent="0.2"/>
    <row r="124" s="4" customFormat="1" ht="12.75" x14ac:dyDescent="0.2"/>
    <row r="125" s="4" customFormat="1" ht="12.75" x14ac:dyDescent="0.2"/>
    <row r="126" s="4" customFormat="1" ht="12.75" x14ac:dyDescent="0.2"/>
    <row r="127" s="4" customFormat="1" ht="12.75" x14ac:dyDescent="0.2"/>
    <row r="128" s="4" customFormat="1" ht="12.75" x14ac:dyDescent="0.2"/>
    <row r="129" s="4" customFormat="1" ht="12.75" x14ac:dyDescent="0.2"/>
    <row r="130" s="4" customFormat="1" ht="12.75" x14ac:dyDescent="0.2"/>
    <row r="131" s="4" customFormat="1" ht="12.75" x14ac:dyDescent="0.2"/>
    <row r="132" s="4" customFormat="1" ht="12.75" x14ac:dyDescent="0.2"/>
    <row r="133" s="4" customFormat="1" ht="12.75" x14ac:dyDescent="0.2"/>
    <row r="134" s="4" customFormat="1" ht="12.75" x14ac:dyDescent="0.2"/>
    <row r="135" s="4" customFormat="1" ht="12.75" x14ac:dyDescent="0.2"/>
    <row r="136" s="4" customFormat="1" ht="12.75" x14ac:dyDescent="0.2"/>
    <row r="137" s="4" customFormat="1" ht="12.75" x14ac:dyDescent="0.2"/>
    <row r="138" s="4" customFormat="1" ht="12.75" x14ac:dyDescent="0.2"/>
    <row r="139" s="4" customFormat="1" ht="12.75" x14ac:dyDescent="0.2"/>
    <row r="140" s="4" customFormat="1" ht="12.75" x14ac:dyDescent="0.2"/>
    <row r="141" s="4" customFormat="1" ht="12.75" x14ac:dyDescent="0.2"/>
    <row r="142" s="4" customFormat="1" ht="12.75" x14ac:dyDescent="0.2"/>
    <row r="143" s="4" customFormat="1" ht="12.75" x14ac:dyDescent="0.2"/>
    <row r="144" s="4" customFormat="1" ht="12.75" x14ac:dyDescent="0.2"/>
    <row r="145" s="4" customFormat="1" ht="12.75" x14ac:dyDescent="0.2"/>
  </sheetData>
  <sheetProtection sheet="1" objects="1" scenarios="1"/>
  <phoneticPr fontId="0" type="noConversion"/>
  <printOptions horizontalCentered="1" verticalCentered="1"/>
  <pageMargins left="0.78740157480314965" right="0.78740157480314965" top="0.59055118110236227" bottom="0.86614173228346458" header="0.47244094488188981" footer="0.39370078740157483"/>
  <pageSetup paperSize="9" scale="87" firstPageNumber="32" orientation="landscape" useFirstPageNumber="1" verticalDpi="300" r:id="rId1"/>
  <headerFooter alignWithMargins="0">
    <oddFooter>&amp;LLEL Schwäb. Gmünd;
&amp;D&amp;C&amp;"Arial,Fett"&amp;12&amp;P&amp;RKalkulationsdaten Milchviehhaltung;
&amp;F  &amp;A</oddFooter>
  </headerFooter>
  <rowBreaks count="5" manualBreakCount="5">
    <brk id="18" min="1" max="19" man="1"/>
    <brk id="33" min="1" max="19" man="1"/>
    <brk id="50" min="1" max="19" man="1"/>
    <brk id="69" max="16383" man="1"/>
    <brk id="81" max="16383" man="1"/>
  </rowBreaks>
  <colBreaks count="1" manualBreakCount="1">
    <brk id="20"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theme="3" tint="0.39997558519241921"/>
  </sheetPr>
  <dimension ref="A1:GW658"/>
  <sheetViews>
    <sheetView showGridLines="0" showZeros="0" zoomScale="90" zoomScaleNormal="90" workbookViewId="0">
      <pane ySplit="11" topLeftCell="A15" activePane="bottomLeft" state="frozen"/>
      <selection activeCell="N4" sqref="N4"/>
      <selection pane="bottomLeft" activeCell="N26" sqref="N26"/>
    </sheetView>
  </sheetViews>
  <sheetFormatPr baseColWidth="10" defaultColWidth="11.5703125" defaultRowHeight="15" x14ac:dyDescent="0.2"/>
  <cols>
    <col min="1" max="1" width="1.28515625" style="726" customWidth="1"/>
    <col min="2" max="2" width="2.42578125" style="739" customWidth="1"/>
    <col min="3" max="3" width="1.42578125" style="189" customWidth="1"/>
    <col min="4" max="4" width="4.5703125" style="189" customWidth="1"/>
    <col min="5" max="5" width="10.28515625" style="189" customWidth="1"/>
    <col min="6" max="6" width="9" style="189" customWidth="1"/>
    <col min="7" max="7" width="9.28515625" style="189" customWidth="1"/>
    <col min="8" max="8" width="11.7109375" style="189" customWidth="1"/>
    <col min="9" max="9" width="11.7109375" style="291" customWidth="1"/>
    <col min="10" max="10" width="10.85546875" style="189" customWidth="1"/>
    <col min="11" max="11" width="10.85546875" style="687" customWidth="1"/>
    <col min="12" max="12" width="10.85546875" style="189" customWidth="1"/>
    <col min="13" max="13" width="10.85546875" style="687" customWidth="1"/>
    <col min="14" max="14" width="10.85546875" style="189" customWidth="1"/>
    <col min="15" max="15" width="11.140625" style="687" customWidth="1"/>
    <col min="16" max="16" width="11.5703125" style="189" customWidth="1"/>
    <col min="17" max="17" width="10.85546875" style="687" customWidth="1"/>
    <col min="18" max="18" width="11.5703125" style="726" customWidth="1"/>
    <col min="19" max="19" width="9.28515625" style="761" customWidth="1"/>
    <col min="20" max="20" width="12.28515625" style="761" customWidth="1"/>
    <col min="21" max="21" width="11.5703125" style="761" customWidth="1"/>
    <col min="22" max="22" width="12.140625" style="761" customWidth="1"/>
    <col min="23" max="23" width="13" style="258" customWidth="1"/>
    <col min="24" max="24" width="11" style="805" customWidth="1"/>
    <col min="25" max="25" width="12.140625" style="726" customWidth="1"/>
    <col min="26" max="28" width="11.7109375" style="726" customWidth="1"/>
    <col min="29" max="29" width="13.42578125" style="726" customWidth="1"/>
    <col min="30" max="30" width="10.7109375" style="726" customWidth="1"/>
    <col min="31" max="37" width="11.5703125" style="726" customWidth="1"/>
    <col min="38" max="38" width="12.7109375" style="726" customWidth="1"/>
    <col min="39" max="39" width="14" style="726" customWidth="1"/>
    <col min="40" max="40" width="18.85546875" style="726" customWidth="1"/>
    <col min="41" max="41" width="8.28515625" style="726" bestFit="1" customWidth="1"/>
    <col min="42" max="42" width="11.5703125" style="726" customWidth="1"/>
    <col min="43" max="43" width="26.85546875" style="726" customWidth="1"/>
    <col min="44" max="16384" width="11.5703125" style="726"/>
  </cols>
  <sheetData>
    <row r="1" spans="1:205" ht="22.15" customHeight="1" x14ac:dyDescent="0.2">
      <c r="A1" s="2503"/>
      <c r="B1" s="2503"/>
      <c r="C1" s="2503"/>
      <c r="D1" s="2503"/>
      <c r="E1" s="2503"/>
      <c r="F1" s="2503"/>
      <c r="G1" s="2503"/>
      <c r="H1" s="2503"/>
      <c r="I1" s="2503"/>
      <c r="J1" s="2503"/>
      <c r="K1" s="2503"/>
      <c r="L1" s="2503"/>
      <c r="M1" s="2503"/>
      <c r="N1" s="2503"/>
      <c r="O1" s="2503"/>
      <c r="P1" s="2503"/>
      <c r="Q1" s="2503"/>
      <c r="R1" s="2503"/>
    </row>
    <row r="2" spans="1:205" ht="30.2" customHeight="1" x14ac:dyDescent="0.2">
      <c r="A2" s="2503"/>
      <c r="C2" s="526" t="s">
        <v>1111</v>
      </c>
      <c r="D2" s="726"/>
      <c r="E2" s="726"/>
      <c r="F2" s="726"/>
      <c r="G2" s="726"/>
      <c r="H2" s="726"/>
      <c r="K2" s="740"/>
      <c r="L2" s="444" t="s">
        <v>1130</v>
      </c>
      <c r="M2" s="740"/>
      <c r="O2" s="740"/>
      <c r="P2" s="741"/>
      <c r="Q2" s="806" t="s">
        <v>236</v>
      </c>
      <c r="R2" s="2503"/>
      <c r="S2" s="743"/>
      <c r="T2" s="743"/>
      <c r="U2" s="743"/>
      <c r="V2" s="743"/>
      <c r="W2" s="744"/>
      <c r="X2" s="229"/>
    </row>
    <row r="3" spans="1:205" ht="17.45" customHeight="1" x14ac:dyDescent="0.2">
      <c r="A3" s="2503"/>
      <c r="C3" s="123"/>
      <c r="D3" s="726"/>
      <c r="E3" s="726"/>
      <c r="F3" s="726"/>
      <c r="G3" s="726"/>
      <c r="H3" s="726"/>
      <c r="K3" s="740"/>
      <c r="L3" s="726"/>
      <c r="M3" s="291"/>
      <c r="N3" s="740"/>
      <c r="O3" s="740"/>
      <c r="P3" s="741"/>
      <c r="Q3" s="741"/>
      <c r="R3" s="2503"/>
      <c r="S3" s="743"/>
      <c r="T3" s="743"/>
      <c r="U3" s="743"/>
      <c r="V3" s="743"/>
      <c r="W3" s="744"/>
      <c r="X3" s="229"/>
    </row>
    <row r="4" spans="1:205" ht="30.2" customHeight="1" x14ac:dyDescent="0.2">
      <c r="A4" s="2503"/>
      <c r="E4" s="2454" t="s">
        <v>876</v>
      </c>
      <c r="F4" s="3791">
        <f>Stammdaten!D4</f>
        <v>44531</v>
      </c>
      <c r="G4" s="739"/>
      <c r="K4" s="291"/>
      <c r="L4" s="444" t="s">
        <v>1009</v>
      </c>
      <c r="M4" s="740"/>
      <c r="O4" s="740"/>
      <c r="P4" s="726"/>
      <c r="Q4" s="806">
        <f>Stammdaten!AI5</f>
        <v>2022</v>
      </c>
      <c r="R4" s="2503"/>
      <c r="S4" s="746"/>
      <c r="T4" s="747"/>
      <c r="U4" s="739"/>
      <c r="V4" s="739"/>
      <c r="W4" s="748"/>
      <c r="X4" s="749"/>
      <c r="Y4" s="750"/>
      <c r="Z4" s="751"/>
    </row>
    <row r="5" spans="1:205" ht="12.2" customHeight="1" thickBot="1" x14ac:dyDescent="0.25">
      <c r="A5" s="2503"/>
      <c r="C5" s="500"/>
      <c r="D5" s="726"/>
      <c r="E5" s="739"/>
      <c r="F5" s="752"/>
      <c r="G5" s="739"/>
      <c r="K5" s="291"/>
      <c r="L5" s="726"/>
      <c r="M5" s="745"/>
      <c r="N5" s="739"/>
      <c r="O5" s="740"/>
      <c r="P5" s="726"/>
      <c r="Q5" s="742"/>
      <c r="R5" s="2503"/>
      <c r="S5" s="746"/>
      <c r="T5" s="747"/>
      <c r="U5" s="739"/>
      <c r="V5" s="739"/>
      <c r="W5" s="748"/>
      <c r="X5" s="749"/>
      <c r="Y5" s="750"/>
      <c r="Z5" s="751"/>
    </row>
    <row r="6" spans="1:205" s="749" customFormat="1" ht="24" customHeight="1" x14ac:dyDescent="0.2">
      <c r="A6" s="2503"/>
      <c r="B6" s="739"/>
      <c r="C6" s="1478"/>
      <c r="D6" s="1392" t="s">
        <v>1073</v>
      </c>
      <c r="E6" s="1479"/>
      <c r="F6" s="1480"/>
      <c r="G6" s="1480"/>
      <c r="H6" s="1480"/>
      <c r="I6" s="1961"/>
      <c r="J6" s="1961"/>
      <c r="K6" s="1481"/>
      <c r="L6" s="1490" t="s">
        <v>1074</v>
      </c>
      <c r="M6" s="1491"/>
      <c r="N6" s="1492" t="s">
        <v>1075</v>
      </c>
      <c r="O6" s="1493"/>
      <c r="P6" s="1494" t="s">
        <v>1076</v>
      </c>
      <c r="Q6" s="1495"/>
      <c r="R6" s="2503"/>
      <c r="S6" s="740"/>
      <c r="T6" s="740"/>
      <c r="U6" s="740"/>
      <c r="V6" s="740"/>
      <c r="W6" s="740"/>
      <c r="X6" s="740"/>
      <c r="Y6" s="740"/>
      <c r="Z6" s="740"/>
      <c r="AA6" s="740"/>
      <c r="AB6" s="740"/>
      <c r="AC6" s="740"/>
      <c r="AD6" s="740"/>
      <c r="AE6" s="740"/>
      <c r="AF6" s="740"/>
      <c r="AG6" s="740"/>
      <c r="AH6" s="740"/>
      <c r="AI6" s="1490" t="s">
        <v>1074</v>
      </c>
      <c r="AJ6" s="1491"/>
      <c r="AK6" s="1492" t="s">
        <v>1075</v>
      </c>
      <c r="AL6" s="1493"/>
      <c r="AM6" s="1494" t="s">
        <v>1076</v>
      </c>
      <c r="AN6" s="1495"/>
      <c r="AO6" s="740"/>
      <c r="AP6" s="740" t="s">
        <v>529</v>
      </c>
      <c r="AQ6" s="740">
        <f>365/12</f>
        <v>30.416666666666668</v>
      </c>
      <c r="AR6" s="740" t="s">
        <v>211</v>
      </c>
      <c r="AS6" s="740"/>
      <c r="AT6" s="740"/>
      <c r="AU6" s="740"/>
      <c r="AV6" s="740"/>
      <c r="AW6" s="740"/>
      <c r="AX6" s="740"/>
      <c r="AY6" s="740"/>
      <c r="AZ6" s="740"/>
      <c r="BA6" s="740"/>
      <c r="BB6" s="740"/>
      <c r="BC6" s="740"/>
      <c r="BD6" s="740"/>
      <c r="BE6" s="740"/>
      <c r="BF6" s="740"/>
      <c r="BG6" s="740"/>
      <c r="BH6" s="740"/>
      <c r="BI6" s="740"/>
      <c r="BJ6" s="740"/>
      <c r="BK6" s="740"/>
      <c r="BL6" s="740"/>
      <c r="BM6" s="740"/>
      <c r="BN6" s="740"/>
      <c r="BO6" s="740"/>
      <c r="BP6" s="740"/>
      <c r="BQ6" s="740"/>
      <c r="BR6" s="740"/>
      <c r="BS6" s="740"/>
      <c r="BT6" s="740"/>
      <c r="BU6" s="740"/>
      <c r="BV6" s="740"/>
      <c r="BW6" s="740"/>
      <c r="BX6" s="740"/>
      <c r="BY6" s="740"/>
      <c r="BZ6" s="740"/>
      <c r="CA6" s="740"/>
      <c r="CB6" s="740"/>
      <c r="CC6" s="740"/>
      <c r="CD6" s="740"/>
      <c r="CE6" s="740"/>
      <c r="CF6" s="740"/>
      <c r="CG6" s="740"/>
      <c r="CH6" s="740"/>
      <c r="CI6" s="740"/>
      <c r="CJ6" s="740"/>
      <c r="CK6" s="740"/>
      <c r="CL6" s="740"/>
      <c r="CM6" s="740"/>
      <c r="CN6" s="740"/>
      <c r="CO6" s="740"/>
      <c r="CP6" s="740"/>
      <c r="CQ6" s="740"/>
      <c r="CR6" s="740"/>
      <c r="CS6" s="740"/>
      <c r="CT6" s="740"/>
      <c r="CU6" s="740"/>
      <c r="CV6" s="740"/>
      <c r="CW6" s="740"/>
      <c r="CX6" s="740"/>
      <c r="CY6" s="740"/>
      <c r="CZ6" s="740"/>
      <c r="DA6" s="740"/>
      <c r="DB6" s="740"/>
      <c r="DC6" s="740"/>
      <c r="DD6" s="740"/>
      <c r="DE6" s="740"/>
      <c r="DF6" s="740"/>
      <c r="DG6" s="740"/>
      <c r="DH6" s="740"/>
      <c r="DI6" s="740"/>
      <c r="DJ6" s="740"/>
      <c r="DK6" s="740"/>
      <c r="DL6" s="740"/>
      <c r="DM6" s="740"/>
      <c r="DN6" s="740"/>
      <c r="DO6" s="740"/>
      <c r="DP6" s="740"/>
      <c r="DQ6" s="740"/>
      <c r="DR6" s="740"/>
      <c r="DS6" s="740"/>
      <c r="DT6" s="740"/>
      <c r="DU6" s="740"/>
      <c r="DV6" s="740"/>
      <c r="DW6" s="740"/>
      <c r="DX6" s="740"/>
      <c r="DY6" s="740"/>
      <c r="DZ6" s="740"/>
      <c r="EA6" s="740"/>
      <c r="EB6" s="740"/>
      <c r="EC6" s="740"/>
      <c r="ED6" s="740"/>
      <c r="EE6" s="740"/>
      <c r="EF6" s="740"/>
      <c r="EG6" s="740"/>
      <c r="EH6" s="740"/>
      <c r="EI6" s="740"/>
      <c r="EJ6" s="740"/>
      <c r="EK6" s="740"/>
      <c r="EL6" s="740"/>
      <c r="EM6" s="740"/>
      <c r="EN6" s="740"/>
      <c r="EO6" s="740"/>
      <c r="EP6" s="740"/>
      <c r="EQ6" s="740"/>
      <c r="ER6" s="740"/>
      <c r="ES6" s="740"/>
      <c r="ET6" s="740"/>
      <c r="EU6" s="740"/>
      <c r="EV6" s="740"/>
      <c r="EW6" s="740"/>
      <c r="EX6" s="740"/>
      <c r="EY6" s="740"/>
      <c r="EZ6" s="740"/>
      <c r="FA6" s="740"/>
      <c r="FB6" s="740"/>
      <c r="FC6" s="740"/>
      <c r="FD6" s="740"/>
      <c r="FE6" s="740"/>
      <c r="FF6" s="740"/>
      <c r="FG6" s="740"/>
      <c r="FH6" s="740"/>
      <c r="FI6" s="740"/>
      <c r="FJ6" s="740"/>
      <c r="FK6" s="740"/>
      <c r="FL6" s="740"/>
      <c r="FM6" s="740"/>
      <c r="FN6" s="740"/>
      <c r="FO6" s="740"/>
      <c r="FP6" s="740"/>
      <c r="FQ6" s="740"/>
      <c r="FR6" s="740"/>
      <c r="FS6" s="740"/>
      <c r="FT6" s="740"/>
      <c r="FU6" s="740"/>
      <c r="FV6" s="740"/>
      <c r="FW6" s="740"/>
      <c r="FX6" s="740"/>
      <c r="FY6" s="740"/>
      <c r="FZ6" s="740"/>
      <c r="GA6" s="740"/>
      <c r="GB6" s="740"/>
      <c r="GC6" s="740"/>
      <c r="GD6" s="740"/>
      <c r="GE6" s="740"/>
      <c r="GF6" s="740"/>
      <c r="GG6" s="740"/>
      <c r="GH6" s="740"/>
      <c r="GI6" s="740"/>
      <c r="GJ6" s="740"/>
      <c r="GK6" s="740"/>
      <c r="GL6" s="740"/>
      <c r="GM6" s="740"/>
      <c r="GN6" s="740"/>
      <c r="GO6" s="740"/>
      <c r="GP6" s="740"/>
      <c r="GQ6" s="740"/>
      <c r="GR6" s="740"/>
      <c r="GS6" s="740"/>
      <c r="GT6" s="740"/>
      <c r="GU6" s="740"/>
      <c r="GV6" s="740"/>
      <c r="GW6" s="740"/>
    </row>
    <row r="7" spans="1:205" s="749" customFormat="1" ht="24" customHeight="1" x14ac:dyDescent="0.25">
      <c r="A7" s="2503"/>
      <c r="B7" s="739"/>
      <c r="C7" s="1482"/>
      <c r="D7" s="807" t="s">
        <v>237</v>
      </c>
      <c r="E7" s="498"/>
      <c r="F7" s="498"/>
      <c r="G7" s="498"/>
      <c r="H7" s="498"/>
      <c r="I7" s="1962"/>
      <c r="J7" s="1962"/>
      <c r="K7" s="2275" t="s">
        <v>238</v>
      </c>
      <c r="L7" s="1681">
        <v>30</v>
      </c>
      <c r="M7" s="1682"/>
      <c r="N7" s="1683">
        <v>28</v>
      </c>
      <c r="O7" s="1684"/>
      <c r="P7" s="1683">
        <v>26</v>
      </c>
      <c r="Q7" s="1960"/>
      <c r="R7" s="2503"/>
      <c r="T7" s="740"/>
      <c r="U7" s="740"/>
      <c r="V7" s="740"/>
      <c r="W7" s="740"/>
      <c r="X7" s="740"/>
      <c r="Y7" s="740"/>
      <c r="Z7" s="740"/>
      <c r="AA7" s="613" t="s">
        <v>762</v>
      </c>
      <c r="AB7" s="1981"/>
      <c r="AC7" s="1981"/>
      <c r="AD7" s="1981"/>
      <c r="AE7" s="766"/>
      <c r="AF7" s="740"/>
      <c r="AG7" s="740"/>
      <c r="AH7" s="740" t="s">
        <v>238</v>
      </c>
      <c r="AI7" s="2623">
        <v>32</v>
      </c>
      <c r="AJ7" s="1682"/>
      <c r="AK7" s="2624">
        <v>29</v>
      </c>
      <c r="AL7" s="1684"/>
      <c r="AM7" s="2624">
        <v>26</v>
      </c>
      <c r="AN7" s="2625"/>
      <c r="AO7" s="740"/>
      <c r="AP7" s="740"/>
      <c r="AQ7" s="740"/>
      <c r="AR7" s="740"/>
      <c r="AS7" s="740"/>
      <c r="AT7" s="740"/>
      <c r="AU7" s="740"/>
      <c r="AV7" s="740"/>
      <c r="AW7" s="740"/>
      <c r="AX7" s="740"/>
      <c r="AY7" s="740"/>
      <c r="AZ7" s="740"/>
      <c r="BA7" s="740"/>
      <c r="BB7" s="740"/>
      <c r="BC7" s="740"/>
      <c r="BD7" s="740"/>
      <c r="BE7" s="740"/>
      <c r="BF7" s="740"/>
      <c r="BG7" s="740"/>
      <c r="BH7" s="740"/>
      <c r="BI7" s="740"/>
      <c r="BJ7" s="740"/>
      <c r="BK7" s="740"/>
      <c r="BL7" s="740"/>
      <c r="BM7" s="740"/>
      <c r="BN7" s="740"/>
      <c r="BO7" s="740"/>
      <c r="BP7" s="740"/>
      <c r="BQ7" s="740"/>
      <c r="BR7" s="740"/>
      <c r="BS7" s="740"/>
      <c r="BT7" s="740"/>
      <c r="BU7" s="740"/>
      <c r="BV7" s="740"/>
      <c r="BW7" s="740"/>
      <c r="BX7" s="740"/>
      <c r="BY7" s="740"/>
      <c r="BZ7" s="740"/>
      <c r="CA7" s="740"/>
      <c r="CB7" s="740"/>
      <c r="CC7" s="740"/>
      <c r="CD7" s="740"/>
      <c r="CE7" s="740"/>
      <c r="CF7" s="740"/>
      <c r="CG7" s="740"/>
      <c r="CH7" s="740"/>
      <c r="CI7" s="740"/>
      <c r="CJ7" s="740"/>
      <c r="CK7" s="740"/>
      <c r="CL7" s="740"/>
      <c r="CM7" s="740"/>
      <c r="CN7" s="740"/>
      <c r="CO7" s="740"/>
      <c r="CP7" s="740"/>
      <c r="CQ7" s="740"/>
      <c r="CR7" s="740"/>
      <c r="CS7" s="740"/>
      <c r="CT7" s="740"/>
      <c r="CU7" s="740"/>
      <c r="CV7" s="740"/>
      <c r="CW7" s="740"/>
      <c r="CX7" s="740"/>
      <c r="CY7" s="740"/>
      <c r="CZ7" s="740"/>
      <c r="DA7" s="740"/>
      <c r="DB7" s="740"/>
      <c r="DC7" s="740"/>
      <c r="DD7" s="740"/>
      <c r="DE7" s="740"/>
      <c r="DF7" s="740"/>
      <c r="DG7" s="740"/>
      <c r="DH7" s="740"/>
      <c r="DI7" s="740"/>
      <c r="DJ7" s="740"/>
      <c r="DK7" s="740"/>
      <c r="DL7" s="740"/>
      <c r="DM7" s="740"/>
      <c r="DN7" s="740"/>
      <c r="DO7" s="740"/>
      <c r="DP7" s="740"/>
      <c r="DQ7" s="740"/>
      <c r="DR7" s="740"/>
      <c r="DS7" s="740"/>
      <c r="DT7" s="740"/>
      <c r="DU7" s="740"/>
      <c r="DV7" s="740"/>
      <c r="DW7" s="740"/>
      <c r="DX7" s="740"/>
      <c r="DY7" s="740"/>
      <c r="DZ7" s="740"/>
      <c r="EA7" s="740"/>
      <c r="EB7" s="740"/>
      <c r="EC7" s="740"/>
      <c r="ED7" s="740"/>
      <c r="EE7" s="740"/>
      <c r="EF7" s="740"/>
      <c r="EG7" s="740"/>
      <c r="EH7" s="740"/>
      <c r="EI7" s="740"/>
      <c r="EJ7" s="740"/>
      <c r="EK7" s="740"/>
      <c r="EL7" s="740"/>
      <c r="EM7" s="740"/>
      <c r="EN7" s="740"/>
      <c r="EO7" s="740"/>
      <c r="EP7" s="740"/>
      <c r="EQ7" s="740"/>
      <c r="ER7" s="740"/>
      <c r="ES7" s="740"/>
      <c r="ET7" s="740"/>
      <c r="EU7" s="740"/>
      <c r="EV7" s="740"/>
      <c r="EW7" s="740"/>
      <c r="EX7" s="740"/>
      <c r="EY7" s="740"/>
      <c r="EZ7" s="740"/>
      <c r="FA7" s="740"/>
      <c r="FB7" s="740"/>
      <c r="FC7" s="740"/>
      <c r="FD7" s="740"/>
      <c r="FE7" s="740"/>
      <c r="FF7" s="740"/>
      <c r="FG7" s="740"/>
      <c r="FH7" s="740"/>
      <c r="FI7" s="740"/>
      <c r="FJ7" s="740"/>
      <c r="FK7" s="740"/>
      <c r="FL7" s="740"/>
      <c r="FM7" s="740"/>
      <c r="FN7" s="740"/>
      <c r="FO7" s="740"/>
      <c r="FP7" s="740"/>
      <c r="FQ7" s="740"/>
      <c r="FR7" s="740"/>
      <c r="FS7" s="740"/>
      <c r="FT7" s="740"/>
      <c r="FU7" s="740"/>
      <c r="FV7" s="740"/>
      <c r="FW7" s="740"/>
      <c r="FX7" s="740"/>
      <c r="FY7" s="740"/>
      <c r="FZ7" s="740"/>
      <c r="GA7" s="740"/>
      <c r="GB7" s="740"/>
      <c r="GC7" s="740"/>
      <c r="GD7" s="740"/>
      <c r="GE7" s="740"/>
      <c r="GF7" s="740"/>
      <c r="GG7" s="740"/>
      <c r="GH7" s="740"/>
      <c r="GI7" s="740"/>
      <c r="GJ7" s="740"/>
      <c r="GK7" s="740"/>
      <c r="GL7" s="740"/>
      <c r="GM7" s="740"/>
      <c r="GN7" s="740"/>
      <c r="GO7" s="740"/>
      <c r="GP7" s="740"/>
      <c r="GQ7" s="740"/>
      <c r="GR7" s="740"/>
      <c r="GS7" s="740"/>
      <c r="GT7" s="740"/>
      <c r="GU7" s="740"/>
      <c r="GV7" s="740"/>
      <c r="GW7" s="740"/>
    </row>
    <row r="8" spans="1:205" s="749" customFormat="1" ht="24" customHeight="1" x14ac:dyDescent="0.2">
      <c r="A8" s="2503"/>
      <c r="B8" s="739"/>
      <c r="C8" s="1482"/>
      <c r="D8" s="2273" t="s">
        <v>523</v>
      </c>
      <c r="E8" s="807"/>
      <c r="F8" s="807"/>
      <c r="G8" s="807"/>
      <c r="H8" s="807"/>
      <c r="I8" s="2274"/>
      <c r="J8" s="2274"/>
      <c r="K8" s="2275"/>
      <c r="L8" s="4027">
        <f>12/L7</f>
        <v>0.4</v>
      </c>
      <c r="M8" s="4029"/>
      <c r="N8" s="4027">
        <f>12/N7</f>
        <v>0.42857142857142855</v>
      </c>
      <c r="O8" s="4029"/>
      <c r="P8" s="4027">
        <f>12/P7</f>
        <v>0.46153846153846156</v>
      </c>
      <c r="Q8" s="4028"/>
      <c r="R8" s="2503"/>
      <c r="T8" s="740"/>
      <c r="U8" s="740"/>
      <c r="V8" s="740"/>
      <c r="W8" s="740"/>
      <c r="X8" s="740"/>
      <c r="Y8" s="740"/>
      <c r="Z8" s="740"/>
      <c r="AA8" s="780" t="s">
        <v>915</v>
      </c>
      <c r="AB8" s="1982"/>
      <c r="AC8" s="1983"/>
      <c r="AD8" s="781">
        <v>610</v>
      </c>
      <c r="AE8" s="782" t="s">
        <v>857</v>
      </c>
      <c r="AF8" s="740"/>
      <c r="AG8" s="740"/>
      <c r="AH8" s="740" t="s">
        <v>211</v>
      </c>
      <c r="AI8" s="2622">
        <f>AI7*$AQ$6</f>
        <v>973.33333333333337</v>
      </c>
      <c r="AJ8" s="2523"/>
      <c r="AK8" s="2622">
        <f>AK7*$AQ$6</f>
        <v>882.08333333333337</v>
      </c>
      <c r="AL8" s="2523"/>
      <c r="AM8" s="2622">
        <f>AM7*$AQ$6</f>
        <v>790.83333333333337</v>
      </c>
      <c r="AN8" s="2622">
        <f>AN7*$AQ$6</f>
        <v>0</v>
      </c>
      <c r="AO8" s="740"/>
      <c r="AP8" s="740"/>
      <c r="AQ8" s="740"/>
      <c r="AR8" s="740"/>
      <c r="AS8" s="740"/>
      <c r="AT8" s="740"/>
      <c r="AU8" s="740"/>
      <c r="AV8" s="740"/>
      <c r="AW8" s="740"/>
      <c r="AX8" s="740"/>
      <c r="AY8" s="740"/>
      <c r="AZ8" s="740"/>
      <c r="BA8" s="740"/>
      <c r="BB8" s="740"/>
      <c r="BC8" s="740"/>
      <c r="BD8" s="740"/>
      <c r="BE8" s="740"/>
      <c r="BF8" s="740"/>
      <c r="BG8" s="740"/>
      <c r="BH8" s="740"/>
      <c r="BI8" s="740"/>
      <c r="BJ8" s="740"/>
      <c r="BK8" s="740"/>
      <c r="BL8" s="740"/>
      <c r="BM8" s="740"/>
      <c r="BN8" s="740"/>
      <c r="BO8" s="740"/>
      <c r="BP8" s="740"/>
      <c r="BQ8" s="740"/>
      <c r="BR8" s="740"/>
      <c r="BS8" s="740"/>
      <c r="BT8" s="740"/>
      <c r="BU8" s="740"/>
      <c r="BV8" s="740"/>
      <c r="BW8" s="740"/>
      <c r="BX8" s="740"/>
      <c r="BY8" s="740"/>
      <c r="BZ8" s="740"/>
      <c r="CA8" s="740"/>
      <c r="CB8" s="740"/>
      <c r="CC8" s="740"/>
      <c r="CD8" s="740"/>
      <c r="CE8" s="740"/>
      <c r="CF8" s="740"/>
      <c r="CG8" s="740"/>
      <c r="CH8" s="740"/>
      <c r="CI8" s="740"/>
      <c r="CJ8" s="740"/>
      <c r="CK8" s="740"/>
      <c r="CL8" s="740"/>
      <c r="CM8" s="740"/>
      <c r="CN8" s="740"/>
      <c r="CO8" s="740"/>
      <c r="CP8" s="740"/>
      <c r="CQ8" s="740"/>
      <c r="CR8" s="740"/>
      <c r="CS8" s="740"/>
      <c r="CT8" s="740"/>
      <c r="CU8" s="740"/>
      <c r="CV8" s="740"/>
      <c r="CW8" s="740"/>
      <c r="CX8" s="740"/>
      <c r="CY8" s="740"/>
      <c r="CZ8" s="740"/>
      <c r="DA8" s="740"/>
      <c r="DB8" s="740"/>
      <c r="DC8" s="740"/>
      <c r="DD8" s="740"/>
      <c r="DE8" s="740"/>
      <c r="DF8" s="740"/>
      <c r="DG8" s="740"/>
      <c r="DH8" s="740"/>
      <c r="DI8" s="740"/>
      <c r="DJ8" s="740"/>
      <c r="DK8" s="740"/>
      <c r="DL8" s="740"/>
      <c r="DM8" s="740"/>
      <c r="DN8" s="740"/>
      <c r="DO8" s="740"/>
      <c r="DP8" s="740"/>
      <c r="DQ8" s="740"/>
      <c r="DR8" s="740"/>
      <c r="DS8" s="740"/>
      <c r="DT8" s="740"/>
      <c r="DU8" s="740"/>
      <c r="DV8" s="740"/>
      <c r="DW8" s="740"/>
      <c r="DX8" s="740"/>
      <c r="DY8" s="740"/>
      <c r="DZ8" s="740"/>
      <c r="EA8" s="740"/>
      <c r="EB8" s="740"/>
      <c r="EC8" s="740"/>
      <c r="ED8" s="740"/>
      <c r="EE8" s="740"/>
      <c r="EF8" s="740"/>
      <c r="EG8" s="740"/>
      <c r="EH8" s="740"/>
      <c r="EI8" s="740"/>
      <c r="EJ8" s="740"/>
      <c r="EK8" s="740"/>
      <c r="EL8" s="740"/>
      <c r="EM8" s="740"/>
      <c r="EN8" s="740"/>
      <c r="EO8" s="740"/>
      <c r="EP8" s="740"/>
      <c r="EQ8" s="740"/>
      <c r="ER8" s="740"/>
      <c r="ES8" s="740"/>
      <c r="ET8" s="740"/>
      <c r="EU8" s="740"/>
      <c r="EV8" s="740"/>
      <c r="EW8" s="740"/>
      <c r="EX8" s="740"/>
      <c r="EY8" s="740"/>
      <c r="EZ8" s="740"/>
      <c r="FA8" s="740"/>
      <c r="FB8" s="740"/>
      <c r="FC8" s="740"/>
      <c r="FD8" s="740"/>
      <c r="FE8" s="740"/>
      <c r="FF8" s="740"/>
      <c r="FG8" s="740"/>
      <c r="FH8" s="740"/>
      <c r="FI8" s="740"/>
      <c r="FJ8" s="740"/>
      <c r="FK8" s="740"/>
      <c r="FL8" s="740"/>
      <c r="FM8" s="740"/>
      <c r="FN8" s="740"/>
      <c r="FO8" s="740"/>
      <c r="FP8" s="740"/>
      <c r="FQ8" s="740"/>
      <c r="FR8" s="740"/>
      <c r="FS8" s="740"/>
      <c r="FT8" s="740"/>
      <c r="FU8" s="740"/>
      <c r="FV8" s="740"/>
      <c r="FW8" s="740"/>
      <c r="FX8" s="740"/>
      <c r="FY8" s="740"/>
      <c r="FZ8" s="740"/>
      <c r="GA8" s="740"/>
      <c r="GB8" s="740"/>
      <c r="GC8" s="740"/>
      <c r="GD8" s="740"/>
      <c r="GE8" s="740"/>
      <c r="GF8" s="740"/>
      <c r="GG8" s="740"/>
      <c r="GH8" s="740"/>
      <c r="GI8" s="740"/>
      <c r="GJ8" s="740"/>
      <c r="GK8" s="740"/>
      <c r="GL8" s="740"/>
      <c r="GM8" s="740"/>
      <c r="GN8" s="740"/>
      <c r="GO8" s="740"/>
      <c r="GP8" s="740"/>
      <c r="GQ8" s="740"/>
      <c r="GR8" s="740"/>
      <c r="GS8" s="740"/>
      <c r="GT8" s="740"/>
      <c r="GU8" s="740"/>
      <c r="GV8" s="740"/>
      <c r="GW8" s="740"/>
    </row>
    <row r="9" spans="1:205" s="749" customFormat="1" ht="18.75" customHeight="1" x14ac:dyDescent="0.2">
      <c r="A9" s="2503"/>
      <c r="B9" s="739"/>
      <c r="C9" s="1483"/>
      <c r="D9" s="189"/>
      <c r="E9" s="123"/>
      <c r="F9" s="123"/>
      <c r="G9" s="123"/>
      <c r="H9" s="123"/>
      <c r="K9" s="1484"/>
      <c r="L9" s="2455" t="s">
        <v>1134</v>
      </c>
      <c r="M9" s="2456" t="str">
        <f>IF(Stammdaten!$S$7=1,"o. Mwst.","m. Mwst.")</f>
        <v>m. Mwst.</v>
      </c>
      <c r="N9" s="2457" t="s">
        <v>1134</v>
      </c>
      <c r="O9" s="2458" t="str">
        <f>IF(Stammdaten!$S$7=1,"o. Mwst.","m. Mwst.")</f>
        <v>m. Mwst.</v>
      </c>
      <c r="P9" s="2459" t="s">
        <v>1134</v>
      </c>
      <c r="Q9" s="2460" t="str">
        <f>IF(Stammdaten!$S$7=1,"o. Mwst.","m. Mwst.")</f>
        <v>m. Mwst.</v>
      </c>
      <c r="R9" s="2503"/>
      <c r="T9" s="740"/>
      <c r="U9" s="740"/>
      <c r="V9" s="740"/>
      <c r="W9" s="740"/>
      <c r="X9" s="740"/>
      <c r="Y9" s="740"/>
      <c r="Z9" s="740"/>
      <c r="AA9" s="1985" t="s">
        <v>748</v>
      </c>
      <c r="AB9" s="1986"/>
      <c r="AC9" s="1987"/>
      <c r="AD9" s="1988">
        <v>550</v>
      </c>
      <c r="AE9" s="1989" t="s">
        <v>857</v>
      </c>
      <c r="AF9" s="740"/>
      <c r="AG9" s="740"/>
      <c r="AH9" s="740"/>
      <c r="AI9" s="740"/>
      <c r="AJ9" s="740"/>
      <c r="AK9" s="740"/>
      <c r="AL9" s="740"/>
      <c r="AM9" s="740"/>
      <c r="AN9" s="740"/>
      <c r="AO9" s="740"/>
      <c r="AP9" s="740"/>
      <c r="AQ9" s="740"/>
      <c r="AR9" s="740"/>
      <c r="AS9" s="740"/>
      <c r="AT9" s="740"/>
      <c r="AU9" s="740"/>
      <c r="AV9" s="740"/>
      <c r="AW9" s="740"/>
      <c r="AX9" s="740"/>
      <c r="AY9" s="740"/>
      <c r="AZ9" s="740"/>
      <c r="BA9" s="740"/>
      <c r="BB9" s="740"/>
      <c r="BC9" s="740"/>
      <c r="BD9" s="740"/>
      <c r="BE9" s="740"/>
      <c r="BF9" s="740"/>
      <c r="BG9" s="740"/>
      <c r="BH9" s="740"/>
      <c r="BI9" s="740"/>
      <c r="BJ9" s="740"/>
      <c r="BK9" s="740"/>
      <c r="BL9" s="740"/>
      <c r="BM9" s="740"/>
      <c r="BN9" s="740"/>
      <c r="BO9" s="740"/>
      <c r="BP9" s="740"/>
      <c r="BQ9" s="740"/>
      <c r="BR9" s="740"/>
      <c r="BS9" s="740"/>
      <c r="BT9" s="740"/>
      <c r="BU9" s="740"/>
      <c r="BV9" s="740"/>
      <c r="BW9" s="740"/>
      <c r="BX9" s="740"/>
      <c r="BY9" s="740"/>
      <c r="BZ9" s="740"/>
      <c r="CA9" s="740"/>
      <c r="CB9" s="740"/>
      <c r="CC9" s="740"/>
      <c r="CD9" s="740"/>
      <c r="CE9" s="740"/>
      <c r="CF9" s="740"/>
      <c r="CG9" s="740"/>
      <c r="CH9" s="740"/>
      <c r="CI9" s="740"/>
      <c r="CJ9" s="740"/>
      <c r="CK9" s="740"/>
      <c r="CL9" s="740"/>
      <c r="CM9" s="740"/>
      <c r="CN9" s="740"/>
      <c r="CO9" s="740"/>
      <c r="CP9" s="740"/>
      <c r="CQ9" s="740"/>
      <c r="CR9" s="740"/>
      <c r="CS9" s="740"/>
      <c r="CT9" s="740"/>
      <c r="CU9" s="740"/>
      <c r="CV9" s="740"/>
      <c r="CW9" s="740"/>
      <c r="CX9" s="740"/>
      <c r="CY9" s="740"/>
      <c r="CZ9" s="740"/>
      <c r="DA9" s="740"/>
      <c r="DB9" s="740"/>
      <c r="DC9" s="740"/>
      <c r="DD9" s="740"/>
      <c r="DE9" s="740"/>
      <c r="DF9" s="740"/>
      <c r="DG9" s="740"/>
      <c r="DH9" s="740"/>
      <c r="DI9" s="740"/>
      <c r="DJ9" s="740"/>
      <c r="DK9" s="740"/>
      <c r="DL9" s="740"/>
      <c r="DM9" s="740"/>
      <c r="DN9" s="740"/>
      <c r="DO9" s="740"/>
      <c r="DP9" s="740"/>
      <c r="DQ9" s="740"/>
      <c r="DR9" s="740"/>
      <c r="DS9" s="740"/>
      <c r="DT9" s="740"/>
      <c r="DU9" s="740"/>
      <c r="DV9" s="740"/>
      <c r="DW9" s="740"/>
      <c r="DX9" s="740"/>
      <c r="DY9" s="740"/>
      <c r="DZ9" s="740"/>
      <c r="EA9" s="740"/>
      <c r="EB9" s="740"/>
      <c r="EC9" s="740"/>
      <c r="ED9" s="740"/>
      <c r="EE9" s="740"/>
      <c r="EF9" s="740"/>
      <c r="EG9" s="740"/>
      <c r="EH9" s="740"/>
      <c r="EI9" s="740"/>
      <c r="EJ9" s="740"/>
      <c r="EK9" s="740"/>
      <c r="EL9" s="740"/>
      <c r="EM9" s="740"/>
      <c r="EN9" s="740"/>
      <c r="EO9" s="740"/>
      <c r="EP9" s="740"/>
      <c r="EQ9" s="740"/>
      <c r="ER9" s="740"/>
      <c r="ES9" s="740"/>
      <c r="ET9" s="740"/>
      <c r="EU9" s="740"/>
      <c r="EV9" s="740"/>
      <c r="EW9" s="740"/>
      <c r="EX9" s="740"/>
      <c r="EY9" s="740"/>
      <c r="EZ9" s="740"/>
      <c r="FA9" s="740"/>
      <c r="FB9" s="740"/>
      <c r="FC9" s="740"/>
      <c r="FD9" s="740"/>
      <c r="FE9" s="740"/>
      <c r="FF9" s="740"/>
      <c r="FG9" s="740"/>
      <c r="FH9" s="740"/>
      <c r="FI9" s="740"/>
      <c r="FJ9" s="740"/>
      <c r="FK9" s="740"/>
      <c r="FL9" s="740"/>
      <c r="FM9" s="740"/>
      <c r="FN9" s="740"/>
      <c r="FO9" s="740"/>
      <c r="FP9" s="740"/>
      <c r="FQ9" s="740"/>
      <c r="FR9" s="740"/>
      <c r="FS9" s="740"/>
      <c r="FT9" s="740"/>
      <c r="FU9" s="740"/>
      <c r="FV9" s="740"/>
      <c r="FW9" s="740"/>
      <c r="FX9" s="740"/>
      <c r="FY9" s="740"/>
      <c r="FZ9" s="740"/>
      <c r="GA9" s="740"/>
      <c r="GB9" s="740"/>
      <c r="GC9" s="740"/>
      <c r="GD9" s="740"/>
      <c r="GE9" s="740"/>
      <c r="GF9" s="740"/>
      <c r="GG9" s="740"/>
      <c r="GH9" s="740"/>
      <c r="GI9" s="740"/>
      <c r="GJ9" s="740"/>
      <c r="GK9" s="740"/>
      <c r="GL9" s="740"/>
      <c r="GM9" s="740"/>
      <c r="GN9" s="740"/>
      <c r="GO9" s="740"/>
      <c r="GP9" s="740"/>
      <c r="GQ9" s="740"/>
      <c r="GR9" s="740"/>
      <c r="GS9" s="740"/>
      <c r="GT9" s="740"/>
      <c r="GU9" s="740"/>
      <c r="GV9" s="740"/>
      <c r="GW9" s="740"/>
    </row>
    <row r="10" spans="1:205" s="749" customFormat="1" ht="18" customHeight="1" x14ac:dyDescent="0.2">
      <c r="A10" s="2503"/>
      <c r="B10" s="739"/>
      <c r="C10" s="1483"/>
      <c r="D10" s="189"/>
      <c r="E10" s="123"/>
      <c r="F10" s="123"/>
      <c r="G10" s="123"/>
      <c r="H10" s="123"/>
      <c r="K10" s="1484"/>
      <c r="L10" s="2461" t="s">
        <v>1138</v>
      </c>
      <c r="M10" s="2462"/>
      <c r="N10" s="2463" t="s">
        <v>1138</v>
      </c>
      <c r="O10" s="2464"/>
      <c r="P10" s="2465" t="s">
        <v>1138</v>
      </c>
      <c r="Q10" s="2466"/>
      <c r="R10" s="2503"/>
      <c r="T10" s="740"/>
      <c r="U10" s="740"/>
      <c r="V10" s="740"/>
      <c r="W10" s="740"/>
      <c r="X10" s="740"/>
      <c r="Y10" s="740"/>
      <c r="Z10" s="740"/>
      <c r="AA10" s="783" t="s">
        <v>749</v>
      </c>
      <c r="AB10" s="799"/>
      <c r="AC10" s="1984"/>
      <c r="AD10" s="762">
        <v>565</v>
      </c>
      <c r="AE10" s="784" t="s">
        <v>857</v>
      </c>
      <c r="AF10" s="740"/>
      <c r="AG10" s="740"/>
      <c r="AH10" s="740"/>
      <c r="AI10" s="740"/>
      <c r="AJ10" s="740"/>
      <c r="AK10" s="740"/>
      <c r="AL10" s="740"/>
      <c r="AM10" s="740"/>
      <c r="AN10" s="740"/>
      <c r="AO10" s="740"/>
      <c r="AP10" s="740"/>
      <c r="AQ10" s="740"/>
      <c r="AR10" s="740"/>
      <c r="AS10" s="740"/>
      <c r="AT10" s="740"/>
      <c r="AU10" s="740"/>
      <c r="AV10" s="740"/>
      <c r="AW10" s="740"/>
      <c r="AX10" s="740"/>
      <c r="AY10" s="740"/>
      <c r="AZ10" s="740"/>
      <c r="BA10" s="740"/>
      <c r="BB10" s="740"/>
      <c r="BC10" s="740"/>
      <c r="BD10" s="740"/>
      <c r="BE10" s="740"/>
      <c r="BF10" s="740"/>
      <c r="BG10" s="740"/>
      <c r="BH10" s="740"/>
      <c r="BI10" s="740"/>
      <c r="BJ10" s="740"/>
      <c r="BK10" s="740"/>
      <c r="BL10" s="740"/>
      <c r="BM10" s="740"/>
      <c r="BN10" s="740"/>
      <c r="BO10" s="740"/>
      <c r="BP10" s="740"/>
      <c r="BQ10" s="740"/>
      <c r="BR10" s="740"/>
      <c r="BS10" s="740"/>
      <c r="BT10" s="740"/>
      <c r="BU10" s="740"/>
      <c r="BV10" s="740"/>
      <c r="BW10" s="740"/>
      <c r="BX10" s="740"/>
      <c r="BY10" s="740"/>
      <c r="BZ10" s="740"/>
      <c r="CA10" s="740"/>
      <c r="CB10" s="740"/>
      <c r="CC10" s="740"/>
      <c r="CD10" s="740"/>
      <c r="CE10" s="740"/>
      <c r="CF10" s="740"/>
      <c r="CG10" s="740"/>
      <c r="CH10" s="740"/>
      <c r="CI10" s="740"/>
      <c r="CJ10" s="740"/>
      <c r="CK10" s="740"/>
      <c r="CL10" s="740"/>
      <c r="CM10" s="740"/>
      <c r="CN10" s="740"/>
      <c r="CO10" s="740"/>
      <c r="CP10" s="740"/>
      <c r="CQ10" s="740"/>
      <c r="CR10" s="740"/>
      <c r="CS10" s="740"/>
      <c r="CT10" s="740"/>
      <c r="CU10" s="740"/>
      <c r="CV10" s="740"/>
      <c r="CW10" s="740"/>
      <c r="CX10" s="740"/>
      <c r="CY10" s="740"/>
      <c r="CZ10" s="740"/>
      <c r="DA10" s="740"/>
      <c r="DB10" s="740"/>
      <c r="DC10" s="740"/>
      <c r="DD10" s="740"/>
      <c r="DE10" s="740"/>
      <c r="DF10" s="740"/>
      <c r="DG10" s="740"/>
      <c r="DH10" s="740"/>
      <c r="DI10" s="740"/>
      <c r="DJ10" s="740"/>
      <c r="DK10" s="740"/>
      <c r="DL10" s="740"/>
      <c r="DM10" s="740"/>
      <c r="DN10" s="740"/>
      <c r="DO10" s="740"/>
      <c r="DP10" s="740"/>
      <c r="DQ10" s="740"/>
      <c r="DR10" s="740"/>
      <c r="DS10" s="740"/>
      <c r="DT10" s="740"/>
      <c r="DU10" s="740"/>
      <c r="DV10" s="740"/>
      <c r="DW10" s="740"/>
      <c r="DX10" s="740"/>
      <c r="DY10" s="740"/>
      <c r="DZ10" s="740"/>
      <c r="EA10" s="740"/>
      <c r="EB10" s="740"/>
      <c r="EC10" s="740"/>
      <c r="ED10" s="740"/>
      <c r="EE10" s="740"/>
      <c r="EF10" s="740"/>
      <c r="EG10" s="740"/>
      <c r="EH10" s="740"/>
      <c r="EI10" s="740"/>
      <c r="EJ10" s="740"/>
      <c r="EK10" s="740"/>
      <c r="EL10" s="740"/>
      <c r="EM10" s="740"/>
      <c r="EN10" s="740"/>
      <c r="EO10" s="740"/>
      <c r="EP10" s="740"/>
      <c r="EQ10" s="740"/>
      <c r="ER10" s="740"/>
      <c r="ES10" s="740"/>
      <c r="ET10" s="740"/>
      <c r="EU10" s="740"/>
      <c r="EV10" s="740"/>
      <c r="EW10" s="740"/>
      <c r="EX10" s="740"/>
      <c r="EY10" s="740"/>
      <c r="EZ10" s="740"/>
      <c r="FA10" s="740"/>
      <c r="FB10" s="740"/>
      <c r="FC10" s="740"/>
      <c r="FD10" s="740"/>
      <c r="FE10" s="740"/>
      <c r="FF10" s="740"/>
      <c r="FG10" s="740"/>
      <c r="FH10" s="740"/>
      <c r="FI10" s="740"/>
      <c r="FJ10" s="740"/>
      <c r="FK10" s="740"/>
      <c r="FL10" s="740"/>
      <c r="FM10" s="740"/>
      <c r="FN10" s="740"/>
      <c r="FO10" s="740"/>
      <c r="FP10" s="740"/>
      <c r="FQ10" s="740"/>
      <c r="FR10" s="740"/>
      <c r="FS10" s="740"/>
      <c r="FT10" s="740"/>
      <c r="FU10" s="740"/>
      <c r="FV10" s="740"/>
      <c r="FW10" s="740"/>
      <c r="FX10" s="740"/>
      <c r="FY10" s="740"/>
      <c r="FZ10" s="740"/>
      <c r="GA10" s="740"/>
      <c r="GB10" s="740"/>
      <c r="GC10" s="740"/>
      <c r="GD10" s="740"/>
      <c r="GE10" s="740"/>
      <c r="GF10" s="740"/>
      <c r="GG10" s="740"/>
      <c r="GH10" s="740"/>
      <c r="GI10" s="740"/>
      <c r="GJ10" s="740"/>
      <c r="GK10" s="740"/>
      <c r="GL10" s="740"/>
      <c r="GM10" s="740"/>
      <c r="GN10" s="740"/>
      <c r="GO10" s="740"/>
      <c r="GP10" s="740"/>
      <c r="GQ10" s="740"/>
      <c r="GR10" s="740"/>
      <c r="GS10" s="740"/>
      <c r="GT10" s="740"/>
      <c r="GU10" s="740"/>
      <c r="GV10" s="740"/>
      <c r="GW10" s="740"/>
    </row>
    <row r="11" spans="1:205" s="749" customFormat="1" ht="18.75" customHeight="1" x14ac:dyDescent="0.2">
      <c r="A11" s="2503"/>
      <c r="B11" s="739"/>
      <c r="C11" s="1483"/>
      <c r="D11" s="189"/>
      <c r="E11" s="123"/>
      <c r="F11" s="123"/>
      <c r="G11" s="123"/>
      <c r="H11" s="123"/>
      <c r="K11" s="1484"/>
      <c r="L11" s="2467" t="s">
        <v>1139</v>
      </c>
      <c r="M11" s="2462"/>
      <c r="N11" s="2468" t="s">
        <v>1139</v>
      </c>
      <c r="O11" s="2464"/>
      <c r="P11" s="2469" t="s">
        <v>1139</v>
      </c>
      <c r="Q11" s="2466"/>
      <c r="R11" s="2503"/>
      <c r="T11" s="740"/>
      <c r="U11" s="740"/>
      <c r="V11" s="740"/>
      <c r="W11" s="740"/>
      <c r="X11" s="740"/>
      <c r="Y11" s="740"/>
      <c r="Z11" s="740"/>
      <c r="AA11" s="764"/>
      <c r="AB11" s="1963"/>
      <c r="AC11" s="765" t="s">
        <v>858</v>
      </c>
      <c r="AD11" s="764">
        <f>(AD8+AD9+AD10)/3</f>
        <v>575</v>
      </c>
      <c r="AE11" s="766" t="s">
        <v>857</v>
      </c>
      <c r="AF11" s="740"/>
      <c r="AG11" s="740"/>
      <c r="AH11" s="740"/>
      <c r="AI11" s="740"/>
      <c r="AJ11" s="740"/>
      <c r="AK11" s="740"/>
      <c r="AL11" s="740"/>
      <c r="AM11" s="740"/>
      <c r="AN11" s="740"/>
      <c r="AO11" s="740"/>
      <c r="AP11" s="740"/>
      <c r="AQ11" s="740"/>
      <c r="AR11" s="740"/>
      <c r="AS11" s="740"/>
      <c r="AT11" s="740"/>
      <c r="AU11" s="740"/>
      <c r="AV11" s="740"/>
      <c r="AW11" s="740"/>
      <c r="AX11" s="740"/>
      <c r="AY11" s="740"/>
      <c r="AZ11" s="740"/>
      <c r="BA11" s="740"/>
      <c r="BB11" s="740"/>
      <c r="BC11" s="740"/>
      <c r="BD11" s="740"/>
      <c r="BE11" s="740"/>
      <c r="BF11" s="740"/>
      <c r="BG11" s="740"/>
      <c r="BH11" s="740"/>
      <c r="BI11" s="740"/>
      <c r="BJ11" s="740"/>
      <c r="BK11" s="740"/>
      <c r="BL11" s="740"/>
      <c r="BM11" s="740"/>
      <c r="BN11" s="740"/>
      <c r="BO11" s="740"/>
      <c r="BP11" s="740"/>
      <c r="BQ11" s="740"/>
      <c r="BR11" s="740"/>
      <c r="BS11" s="740"/>
      <c r="BT11" s="740"/>
      <c r="BU11" s="740"/>
      <c r="BV11" s="740"/>
      <c r="BW11" s="740"/>
      <c r="BX11" s="740"/>
      <c r="BY11" s="740"/>
      <c r="BZ11" s="740"/>
      <c r="CA11" s="740"/>
      <c r="CB11" s="740"/>
      <c r="CC11" s="740"/>
      <c r="CD11" s="740"/>
      <c r="CE11" s="740"/>
      <c r="CF11" s="740"/>
      <c r="CG11" s="740"/>
      <c r="CH11" s="740"/>
      <c r="CI11" s="740"/>
      <c r="CJ11" s="740"/>
      <c r="CK11" s="740"/>
      <c r="CL11" s="740"/>
      <c r="CM11" s="740"/>
      <c r="CN11" s="740"/>
      <c r="CO11" s="740"/>
      <c r="CP11" s="740"/>
      <c r="CQ11" s="740"/>
      <c r="CR11" s="740"/>
      <c r="CS11" s="740"/>
      <c r="CT11" s="740"/>
      <c r="CU11" s="740"/>
      <c r="CV11" s="740"/>
      <c r="CW11" s="740"/>
      <c r="CX11" s="740"/>
      <c r="CY11" s="740"/>
      <c r="CZ11" s="740"/>
      <c r="DA11" s="740"/>
      <c r="DB11" s="740"/>
      <c r="DC11" s="740"/>
      <c r="DD11" s="740"/>
      <c r="DE11" s="740"/>
      <c r="DF11" s="740"/>
      <c r="DG11" s="740"/>
      <c r="DH11" s="740"/>
      <c r="DI11" s="740"/>
      <c r="DJ11" s="740"/>
      <c r="DK11" s="740"/>
      <c r="DL11" s="740"/>
      <c r="DM11" s="740"/>
      <c r="DN11" s="740"/>
      <c r="DO11" s="740"/>
      <c r="DP11" s="740"/>
      <c r="DQ11" s="740"/>
      <c r="DR11" s="740"/>
      <c r="DS11" s="740"/>
      <c r="DT11" s="740"/>
      <c r="DU11" s="740"/>
      <c r="DV11" s="740"/>
      <c r="DW11" s="740"/>
      <c r="DX11" s="740"/>
      <c r="DY11" s="740"/>
      <c r="DZ11" s="740"/>
      <c r="EA11" s="740"/>
      <c r="EB11" s="740"/>
      <c r="EC11" s="740"/>
      <c r="ED11" s="740"/>
      <c r="EE11" s="740"/>
      <c r="EF11" s="740"/>
      <c r="EG11" s="740"/>
      <c r="EH11" s="740"/>
      <c r="EI11" s="740"/>
      <c r="EJ11" s="740"/>
      <c r="EK11" s="740"/>
      <c r="EL11" s="740"/>
      <c r="EM11" s="740"/>
      <c r="EN11" s="740"/>
      <c r="EO11" s="740"/>
      <c r="EP11" s="740"/>
      <c r="EQ11" s="740"/>
      <c r="ER11" s="740"/>
      <c r="ES11" s="740"/>
      <c r="ET11" s="740"/>
      <c r="EU11" s="740"/>
      <c r="EV11" s="740"/>
      <c r="EW11" s="740"/>
      <c r="EX11" s="740"/>
      <c r="EY11" s="740"/>
      <c r="EZ11" s="740"/>
      <c r="FA11" s="740"/>
      <c r="FB11" s="740"/>
      <c r="FC11" s="740"/>
      <c r="FD11" s="740"/>
      <c r="FE11" s="740"/>
      <c r="FF11" s="740"/>
      <c r="FG11" s="740"/>
      <c r="FH11" s="740"/>
      <c r="FI11" s="740"/>
      <c r="FJ11" s="740"/>
      <c r="FK11" s="740"/>
      <c r="FL11" s="740"/>
      <c r="FM11" s="740"/>
      <c r="FN11" s="740"/>
      <c r="FO11" s="740"/>
      <c r="FP11" s="740"/>
      <c r="FQ11" s="740"/>
      <c r="FR11" s="740"/>
      <c r="FS11" s="740"/>
      <c r="FT11" s="740"/>
      <c r="FU11" s="740"/>
      <c r="FV11" s="740"/>
      <c r="FW11" s="740"/>
      <c r="FX11" s="740"/>
      <c r="FY11" s="740"/>
      <c r="FZ11" s="740"/>
      <c r="GA11" s="740"/>
      <c r="GB11" s="740"/>
      <c r="GC11" s="740"/>
      <c r="GD11" s="740"/>
      <c r="GE11" s="740"/>
      <c r="GF11" s="740"/>
      <c r="GG11" s="740"/>
      <c r="GH11" s="740"/>
      <c r="GI11" s="740"/>
      <c r="GJ11" s="740"/>
      <c r="GK11" s="740"/>
      <c r="GL11" s="740"/>
      <c r="GM11" s="740"/>
      <c r="GN11" s="740"/>
      <c r="GO11" s="740"/>
      <c r="GP11" s="740"/>
      <c r="GQ11" s="740"/>
      <c r="GR11" s="740"/>
      <c r="GS11" s="740"/>
      <c r="GT11" s="740"/>
      <c r="GU11" s="740"/>
      <c r="GV11" s="740"/>
      <c r="GW11" s="740"/>
    </row>
    <row r="12" spans="1:205" s="749" customFormat="1" ht="24" customHeight="1" x14ac:dyDescent="0.2">
      <c r="A12" s="2503"/>
      <c r="B12" s="739"/>
      <c r="C12" s="1387"/>
      <c r="D12" s="642" t="s">
        <v>1140</v>
      </c>
      <c r="E12" s="115"/>
      <c r="F12" s="753"/>
      <c r="G12" s="754"/>
      <c r="H12" s="2276" t="s">
        <v>239</v>
      </c>
      <c r="I12" s="1962"/>
      <c r="J12" s="1962"/>
      <c r="K12" s="2277" t="s">
        <v>61</v>
      </c>
      <c r="L12" s="1685"/>
      <c r="M12" s="2470">
        <f>Preise!N25</f>
        <v>1971</v>
      </c>
      <c r="N12" s="2471"/>
      <c r="O12" s="2472">
        <f>Preise!N25</f>
        <v>1971</v>
      </c>
      <c r="P12" s="2473"/>
      <c r="Q12" s="2474">
        <f>Preise!N25</f>
        <v>1971</v>
      </c>
      <c r="R12" s="2503"/>
      <c r="T12" s="740"/>
      <c r="U12" s="740"/>
      <c r="V12" s="740"/>
      <c r="W12" s="740"/>
      <c r="X12" s="740"/>
      <c r="Y12" s="740"/>
      <c r="Z12" s="740"/>
      <c r="AA12" s="740"/>
      <c r="AC12" s="740"/>
      <c r="AD12" s="740"/>
      <c r="AE12" s="740"/>
      <c r="AF12" s="740"/>
      <c r="AG12" s="740"/>
      <c r="AH12" s="740"/>
      <c r="AI12" s="740"/>
      <c r="AJ12" s="740"/>
      <c r="AK12" s="740"/>
      <c r="AL12" s="740"/>
      <c r="AM12" s="740"/>
      <c r="AN12" s="740"/>
      <c r="AO12" s="740"/>
      <c r="AP12" s="740"/>
      <c r="AQ12" s="740"/>
      <c r="AR12" s="740"/>
      <c r="AS12" s="740"/>
      <c r="AT12" s="740"/>
      <c r="AU12" s="740"/>
      <c r="AV12" s="740"/>
      <c r="AW12" s="740"/>
      <c r="AX12" s="740"/>
      <c r="AY12" s="740"/>
      <c r="AZ12" s="740"/>
      <c r="BA12" s="740"/>
      <c r="BB12" s="740"/>
      <c r="BC12" s="740"/>
      <c r="BD12" s="740"/>
      <c r="BE12" s="740"/>
      <c r="BF12" s="740"/>
      <c r="BG12" s="740"/>
      <c r="BH12" s="740"/>
      <c r="BI12" s="740"/>
      <c r="BJ12" s="740"/>
      <c r="BK12" s="740"/>
      <c r="BL12" s="740"/>
      <c r="BM12" s="740"/>
      <c r="BN12" s="740"/>
      <c r="BO12" s="740"/>
      <c r="BP12" s="740"/>
      <c r="BQ12" s="740"/>
      <c r="BR12" s="740"/>
      <c r="BS12" s="740"/>
      <c r="BT12" s="740"/>
      <c r="BU12" s="740"/>
      <c r="BV12" s="740"/>
      <c r="BW12" s="740"/>
      <c r="BX12" s="740"/>
      <c r="BY12" s="740"/>
      <c r="BZ12" s="740"/>
      <c r="CA12" s="740"/>
      <c r="CB12" s="740"/>
      <c r="CC12" s="740"/>
      <c r="CD12" s="740"/>
      <c r="CE12" s="740"/>
      <c r="CF12" s="740"/>
      <c r="CG12" s="740"/>
      <c r="CH12" s="740"/>
      <c r="CI12" s="740"/>
      <c r="CJ12" s="740"/>
      <c r="CK12" s="740"/>
      <c r="CL12" s="740"/>
      <c r="CM12" s="740"/>
      <c r="CN12" s="740"/>
      <c r="CO12" s="740"/>
      <c r="CP12" s="740"/>
      <c r="CQ12" s="740"/>
      <c r="CR12" s="740"/>
      <c r="CS12" s="740"/>
      <c r="CT12" s="740"/>
      <c r="CU12" s="740"/>
      <c r="CV12" s="740"/>
      <c r="CW12" s="740"/>
      <c r="CX12" s="740"/>
      <c r="CY12" s="740"/>
      <c r="CZ12" s="740"/>
      <c r="DA12" s="740"/>
      <c r="DB12" s="740"/>
      <c r="DC12" s="740"/>
      <c r="DD12" s="740"/>
      <c r="DE12" s="740"/>
      <c r="DF12" s="740"/>
      <c r="DG12" s="740"/>
      <c r="DH12" s="740"/>
      <c r="DI12" s="740"/>
      <c r="DJ12" s="740"/>
      <c r="DK12" s="740"/>
      <c r="DL12" s="740"/>
      <c r="DM12" s="740"/>
      <c r="DN12" s="740"/>
      <c r="DO12" s="740"/>
      <c r="DP12" s="740"/>
      <c r="DQ12" s="740"/>
      <c r="DR12" s="740"/>
      <c r="DS12" s="740"/>
      <c r="DT12" s="740"/>
      <c r="DU12" s="740"/>
      <c r="DV12" s="740"/>
      <c r="DW12" s="740"/>
      <c r="DX12" s="740"/>
      <c r="DY12" s="740"/>
      <c r="DZ12" s="740"/>
      <c r="EA12" s="740"/>
      <c r="EB12" s="740"/>
      <c r="EC12" s="740"/>
      <c r="ED12" s="740"/>
      <c r="EE12" s="740"/>
      <c r="EF12" s="740"/>
      <c r="EG12" s="740"/>
      <c r="EH12" s="740"/>
      <c r="EI12" s="740"/>
      <c r="EJ12" s="740"/>
      <c r="EK12" s="740"/>
      <c r="EL12" s="740"/>
      <c r="EM12" s="740"/>
      <c r="EN12" s="740"/>
      <c r="EO12" s="740"/>
      <c r="EP12" s="740"/>
      <c r="EQ12" s="740"/>
      <c r="ER12" s="740"/>
      <c r="ES12" s="740"/>
      <c r="ET12" s="740"/>
      <c r="EU12" s="740"/>
      <c r="EV12" s="740"/>
      <c r="EW12" s="740"/>
      <c r="EX12" s="740"/>
      <c r="EY12" s="740"/>
      <c r="EZ12" s="740"/>
      <c r="FA12" s="740"/>
      <c r="FB12" s="740"/>
      <c r="FC12" s="740"/>
      <c r="FD12" s="740"/>
      <c r="FE12" s="740"/>
      <c r="FF12" s="740"/>
      <c r="FG12" s="740"/>
      <c r="FH12" s="740"/>
      <c r="FI12" s="740"/>
      <c r="FJ12" s="740"/>
      <c r="FK12" s="740"/>
      <c r="FL12" s="740"/>
      <c r="FM12" s="740"/>
      <c r="FN12" s="740"/>
      <c r="FO12" s="740"/>
      <c r="FP12" s="740"/>
      <c r="FQ12" s="740"/>
      <c r="FR12" s="740"/>
      <c r="FS12" s="740"/>
      <c r="FT12" s="740"/>
      <c r="FU12" s="740"/>
      <c r="FV12" s="740"/>
      <c r="FW12" s="740"/>
      <c r="FX12" s="740"/>
      <c r="FY12" s="740"/>
      <c r="FZ12" s="740"/>
      <c r="GA12" s="740"/>
      <c r="GB12" s="740"/>
      <c r="GC12" s="740"/>
      <c r="GD12" s="740"/>
      <c r="GE12" s="740"/>
      <c r="GF12" s="740"/>
      <c r="GG12" s="740"/>
      <c r="GH12" s="740"/>
      <c r="GI12" s="740"/>
      <c r="GJ12" s="740"/>
      <c r="GK12" s="740"/>
      <c r="GL12" s="740"/>
      <c r="GM12" s="740"/>
      <c r="GN12" s="740"/>
      <c r="GO12" s="740"/>
      <c r="GP12" s="740"/>
      <c r="GQ12" s="740"/>
      <c r="GR12" s="740"/>
      <c r="GS12" s="740"/>
      <c r="GT12" s="740"/>
      <c r="GU12" s="740"/>
      <c r="GV12" s="740"/>
      <c r="GW12" s="740"/>
    </row>
    <row r="13" spans="1:205" ht="5.45" customHeight="1" x14ac:dyDescent="0.2">
      <c r="A13" s="2503"/>
      <c r="C13" s="1485"/>
      <c r="D13" s="755"/>
      <c r="E13" s="190"/>
      <c r="F13" s="755"/>
      <c r="G13" s="756"/>
      <c r="H13" s="756"/>
      <c r="I13" s="418"/>
      <c r="J13" s="190"/>
      <c r="K13" s="1366"/>
      <c r="L13" s="1686"/>
      <c r="M13" s="2475"/>
      <c r="N13" s="2476"/>
      <c r="O13" s="2477"/>
      <c r="P13" s="2478"/>
      <c r="Q13" s="2479"/>
      <c r="R13" s="2503"/>
      <c r="T13" s="740"/>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c r="AT13" s="740"/>
      <c r="AU13" s="740"/>
      <c r="AV13" s="740"/>
      <c r="AW13" s="740"/>
      <c r="AX13" s="740"/>
      <c r="AY13" s="740"/>
      <c r="AZ13" s="740"/>
      <c r="BA13" s="740"/>
      <c r="BB13" s="740"/>
      <c r="BC13" s="740"/>
      <c r="BD13" s="740"/>
      <c r="BE13" s="740"/>
      <c r="BF13" s="740"/>
      <c r="BG13" s="740"/>
      <c r="BH13" s="740"/>
      <c r="BI13" s="740"/>
      <c r="BJ13" s="740"/>
      <c r="BK13" s="740"/>
      <c r="BL13" s="740"/>
      <c r="BM13" s="740"/>
      <c r="BN13" s="740"/>
      <c r="BO13" s="740"/>
      <c r="BP13" s="740"/>
      <c r="BQ13" s="740"/>
      <c r="BR13" s="740"/>
      <c r="BS13" s="740"/>
      <c r="BT13" s="740"/>
      <c r="BU13" s="740"/>
      <c r="BV13" s="740"/>
      <c r="BW13" s="740"/>
      <c r="BX13" s="740"/>
      <c r="BY13" s="740"/>
      <c r="BZ13" s="740"/>
      <c r="CA13" s="740"/>
      <c r="CB13" s="740"/>
      <c r="CC13" s="740"/>
      <c r="CD13" s="740"/>
      <c r="CE13" s="740"/>
      <c r="CF13" s="740"/>
      <c r="CG13" s="740"/>
      <c r="CH13" s="740"/>
      <c r="CI13" s="740"/>
      <c r="CJ13" s="740"/>
      <c r="CK13" s="740"/>
      <c r="CL13" s="740"/>
      <c r="CM13" s="740"/>
      <c r="CN13" s="740"/>
      <c r="CO13" s="740"/>
      <c r="CP13" s="740"/>
      <c r="CQ13" s="740"/>
      <c r="CR13" s="740"/>
      <c r="CS13" s="740"/>
      <c r="CT13" s="740"/>
      <c r="CU13" s="740"/>
      <c r="CV13" s="740"/>
      <c r="CW13" s="740"/>
      <c r="CX13" s="740"/>
      <c r="CY13" s="740"/>
      <c r="CZ13" s="740"/>
      <c r="DA13" s="740"/>
      <c r="DB13" s="740"/>
      <c r="DC13" s="740"/>
      <c r="DD13" s="740"/>
      <c r="DE13" s="740"/>
      <c r="DF13" s="740"/>
      <c r="DG13" s="740"/>
      <c r="DH13" s="740"/>
      <c r="DI13" s="740"/>
      <c r="DJ13" s="740"/>
      <c r="DK13" s="740"/>
      <c r="DL13" s="740"/>
      <c r="DM13" s="740"/>
      <c r="DN13" s="740"/>
      <c r="DO13" s="740"/>
      <c r="DP13" s="740"/>
      <c r="DQ13" s="740"/>
      <c r="DR13" s="740"/>
      <c r="DS13" s="740"/>
      <c r="DT13" s="740"/>
      <c r="DU13" s="740"/>
      <c r="DV13" s="740"/>
      <c r="DW13" s="740"/>
      <c r="DX13" s="740"/>
      <c r="DY13" s="740"/>
      <c r="DZ13" s="740"/>
      <c r="EA13" s="740"/>
      <c r="EB13" s="740"/>
      <c r="EC13" s="740"/>
      <c r="ED13" s="740"/>
      <c r="EE13" s="740"/>
      <c r="EF13" s="740"/>
      <c r="EG13" s="740"/>
      <c r="EH13" s="740"/>
      <c r="EI13" s="740"/>
      <c r="EJ13" s="740"/>
      <c r="EK13" s="740"/>
      <c r="EL13" s="740"/>
      <c r="EM13" s="740"/>
      <c r="EN13" s="740"/>
      <c r="EO13" s="740"/>
      <c r="EP13" s="740"/>
      <c r="EQ13" s="740"/>
      <c r="ER13" s="740"/>
      <c r="ES13" s="740"/>
      <c r="ET13" s="740"/>
      <c r="EU13" s="740"/>
      <c r="EV13" s="740"/>
      <c r="EW13" s="740"/>
      <c r="EX13" s="740"/>
      <c r="EY13" s="740"/>
      <c r="EZ13" s="740"/>
      <c r="FA13" s="740"/>
      <c r="FB13" s="740"/>
      <c r="FC13" s="740"/>
      <c r="FD13" s="740"/>
      <c r="FE13" s="740"/>
      <c r="FF13" s="740"/>
      <c r="FG13" s="740"/>
      <c r="FH13" s="740"/>
      <c r="FI13" s="740"/>
      <c r="FJ13" s="740"/>
      <c r="FK13" s="740"/>
      <c r="FL13" s="740"/>
      <c r="FM13" s="740"/>
      <c r="FN13" s="740"/>
      <c r="FO13" s="740"/>
      <c r="FP13" s="740"/>
      <c r="FQ13" s="740"/>
      <c r="FR13" s="740"/>
      <c r="FS13" s="740"/>
      <c r="FT13" s="740"/>
      <c r="FU13" s="740"/>
      <c r="FV13" s="740"/>
      <c r="FW13" s="740"/>
      <c r="FX13" s="740"/>
      <c r="FY13" s="740"/>
      <c r="FZ13" s="740"/>
      <c r="GA13" s="740"/>
      <c r="GB13" s="740"/>
      <c r="GC13" s="740"/>
      <c r="GD13" s="740"/>
      <c r="GE13" s="740"/>
      <c r="GF13" s="740"/>
      <c r="GG13" s="740"/>
      <c r="GH13" s="740"/>
      <c r="GI13" s="740"/>
      <c r="GJ13" s="740"/>
      <c r="GK13" s="740"/>
      <c r="GL13" s="740"/>
      <c r="GM13" s="740"/>
      <c r="GN13" s="740"/>
      <c r="GO13" s="740"/>
      <c r="GP13" s="740"/>
      <c r="GQ13" s="740"/>
      <c r="GR13" s="740"/>
      <c r="GS13" s="740"/>
      <c r="GT13" s="740"/>
      <c r="GU13" s="740"/>
      <c r="GV13" s="740"/>
      <c r="GW13" s="740"/>
    </row>
    <row r="14" spans="1:205" s="749" customFormat="1" ht="22.9" customHeight="1" x14ac:dyDescent="0.2">
      <c r="A14" s="2503"/>
      <c r="B14" s="739"/>
      <c r="C14" s="1483"/>
      <c r="D14" s="128" t="s">
        <v>1144</v>
      </c>
      <c r="E14" s="128"/>
      <c r="F14" s="757"/>
      <c r="G14" s="2279" t="s">
        <v>1084</v>
      </c>
      <c r="H14" s="189"/>
      <c r="K14" s="2278" t="s">
        <v>61</v>
      </c>
      <c r="L14" s="1687"/>
      <c r="M14" s="2400">
        <f>L16*M15</f>
        <v>379.06656666666663</v>
      </c>
      <c r="N14" s="2480"/>
      <c r="O14" s="2402">
        <f>N16*O15</f>
        <v>349.9076</v>
      </c>
      <c r="P14" s="2481"/>
      <c r="Q14" s="2404">
        <f>P16*Q15</f>
        <v>320.74863333333332</v>
      </c>
      <c r="R14" s="2503"/>
      <c r="T14" s="740"/>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c r="AT14" s="740"/>
      <c r="AU14" s="740"/>
      <c r="AV14" s="740"/>
      <c r="AW14" s="740"/>
      <c r="AX14" s="740"/>
      <c r="AY14" s="740"/>
      <c r="AZ14" s="740"/>
      <c r="BA14" s="740"/>
      <c r="BB14" s="740"/>
      <c r="BC14" s="740"/>
      <c r="BD14" s="740"/>
      <c r="BE14" s="740"/>
      <c r="BF14" s="740"/>
      <c r="BG14" s="740"/>
      <c r="BH14" s="740"/>
      <c r="BI14" s="740"/>
      <c r="BJ14" s="740"/>
      <c r="BK14" s="740"/>
      <c r="BL14" s="740"/>
      <c r="BM14" s="740"/>
      <c r="BN14" s="740"/>
      <c r="BO14" s="740"/>
      <c r="BP14" s="740"/>
      <c r="BQ14" s="740"/>
      <c r="BR14" s="740"/>
      <c r="BS14" s="740"/>
      <c r="BT14" s="740"/>
      <c r="BU14" s="740"/>
      <c r="BV14" s="740"/>
      <c r="BW14" s="740"/>
      <c r="BX14" s="740"/>
      <c r="BY14" s="740"/>
      <c r="BZ14" s="740"/>
      <c r="CA14" s="740"/>
      <c r="CB14" s="740"/>
      <c r="CC14" s="740"/>
      <c r="CD14" s="740"/>
      <c r="CE14" s="740"/>
      <c r="CF14" s="740"/>
      <c r="CG14" s="740"/>
      <c r="CH14" s="740"/>
      <c r="CI14" s="740"/>
      <c r="CJ14" s="740"/>
      <c r="CK14" s="740"/>
      <c r="CL14" s="740"/>
      <c r="CM14" s="740"/>
      <c r="CN14" s="740"/>
      <c r="CO14" s="740"/>
      <c r="CP14" s="740"/>
      <c r="CQ14" s="740"/>
      <c r="CR14" s="740"/>
      <c r="CS14" s="740"/>
      <c r="CT14" s="740"/>
      <c r="CU14" s="740"/>
      <c r="CV14" s="740"/>
      <c r="CW14" s="740"/>
      <c r="CX14" s="740"/>
      <c r="CY14" s="740"/>
      <c r="CZ14" s="740"/>
      <c r="DA14" s="740"/>
      <c r="DB14" s="740"/>
      <c r="DC14" s="740"/>
      <c r="DD14" s="740"/>
      <c r="DE14" s="740"/>
      <c r="DF14" s="740"/>
      <c r="DG14" s="740"/>
      <c r="DH14" s="740"/>
      <c r="DI14" s="740"/>
      <c r="DJ14" s="740"/>
      <c r="DK14" s="740"/>
      <c r="DL14" s="740"/>
      <c r="DM14" s="740"/>
      <c r="DN14" s="740"/>
      <c r="DO14" s="740"/>
      <c r="DP14" s="740"/>
      <c r="DQ14" s="740"/>
      <c r="DR14" s="740"/>
      <c r="DS14" s="740"/>
      <c r="DT14" s="740"/>
      <c r="DU14" s="740"/>
      <c r="DV14" s="740"/>
      <c r="DW14" s="740"/>
      <c r="DX14" s="740"/>
      <c r="DY14" s="740"/>
      <c r="DZ14" s="740"/>
      <c r="EA14" s="740"/>
      <c r="EB14" s="740"/>
      <c r="EC14" s="740"/>
      <c r="ED14" s="740"/>
      <c r="EE14" s="740"/>
      <c r="EF14" s="740"/>
      <c r="EG14" s="740"/>
      <c r="EH14" s="740"/>
      <c r="EI14" s="740"/>
      <c r="EJ14" s="740"/>
      <c r="EK14" s="740"/>
      <c r="EL14" s="740"/>
      <c r="EM14" s="740"/>
      <c r="EN14" s="740"/>
      <c r="EO14" s="740"/>
      <c r="EP14" s="740"/>
      <c r="EQ14" s="740"/>
      <c r="ER14" s="740"/>
      <c r="ES14" s="740"/>
      <c r="ET14" s="740"/>
      <c r="EU14" s="740"/>
      <c r="EV14" s="740"/>
      <c r="EW14" s="740"/>
      <c r="EX14" s="740"/>
      <c r="EY14" s="740"/>
      <c r="EZ14" s="740"/>
      <c r="FA14" s="740"/>
      <c r="FB14" s="740"/>
      <c r="FC14" s="740"/>
      <c r="FD14" s="740"/>
      <c r="FE14" s="740"/>
      <c r="FF14" s="740"/>
      <c r="FG14" s="740"/>
      <c r="FH14" s="740"/>
      <c r="FI14" s="740"/>
      <c r="FJ14" s="740"/>
      <c r="FK14" s="740"/>
      <c r="FL14" s="740"/>
      <c r="FM14" s="740"/>
      <c r="FN14" s="740"/>
      <c r="FO14" s="740"/>
      <c r="FP14" s="740"/>
      <c r="FQ14" s="740"/>
      <c r="FR14" s="740"/>
      <c r="FS14" s="740"/>
      <c r="FT14" s="740"/>
      <c r="FU14" s="740"/>
      <c r="FV14" s="740"/>
      <c r="FW14" s="740"/>
      <c r="FX14" s="740"/>
      <c r="FY14" s="740"/>
      <c r="FZ14" s="740"/>
      <c r="GA14" s="740"/>
      <c r="GB14" s="740"/>
      <c r="GC14" s="740"/>
      <c r="GD14" s="740"/>
      <c r="GE14" s="740"/>
      <c r="GF14" s="740"/>
      <c r="GG14" s="740"/>
      <c r="GH14" s="740"/>
      <c r="GI14" s="740"/>
      <c r="GJ14" s="740"/>
      <c r="GK14" s="740"/>
      <c r="GL14" s="740"/>
      <c r="GM14" s="740"/>
      <c r="GN14" s="740"/>
      <c r="GO14" s="740"/>
      <c r="GP14" s="740"/>
      <c r="GQ14" s="740"/>
      <c r="GR14" s="740"/>
      <c r="GS14" s="740"/>
      <c r="GT14" s="740"/>
      <c r="GU14" s="740"/>
      <c r="GV14" s="740"/>
      <c r="GW14" s="740"/>
    </row>
    <row r="15" spans="1:205" s="749" customFormat="1" ht="22.9" customHeight="1" x14ac:dyDescent="0.2">
      <c r="A15" s="2503"/>
      <c r="B15" s="739"/>
      <c r="C15" s="1483"/>
      <c r="D15" s="189"/>
      <c r="E15" s="1486"/>
      <c r="F15" s="189"/>
      <c r="G15" s="2279" t="s">
        <v>1154</v>
      </c>
      <c r="H15" s="189"/>
      <c r="K15" s="2278" t="s">
        <v>976</v>
      </c>
      <c r="L15" s="1496"/>
      <c r="M15" s="2281">
        <f>O15</f>
        <v>14.579483333333332</v>
      </c>
      <c r="N15" s="2282"/>
      <c r="O15" s="2283">
        <f>Stammdaten!P23</f>
        <v>14.579483333333332</v>
      </c>
      <c r="P15" s="2284"/>
      <c r="Q15" s="2285">
        <f>O15</f>
        <v>14.579483333333332</v>
      </c>
      <c r="R15" s="2503"/>
      <c r="T15" s="740"/>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40"/>
      <c r="CD15" s="740"/>
      <c r="CE15" s="740"/>
      <c r="CF15" s="740"/>
      <c r="CG15" s="740"/>
      <c r="CH15" s="740"/>
      <c r="CI15" s="740"/>
      <c r="CJ15" s="740"/>
      <c r="CK15" s="740"/>
      <c r="CL15" s="740"/>
      <c r="CM15" s="740"/>
      <c r="CN15" s="740"/>
      <c r="CO15" s="740"/>
      <c r="CP15" s="740"/>
      <c r="CQ15" s="740"/>
      <c r="CR15" s="740"/>
      <c r="CS15" s="740"/>
      <c r="CT15" s="740"/>
      <c r="CU15" s="740"/>
      <c r="CV15" s="740"/>
      <c r="CW15" s="740"/>
      <c r="CX15" s="740"/>
      <c r="CY15" s="740"/>
      <c r="CZ15" s="740"/>
      <c r="DA15" s="740"/>
      <c r="DB15" s="740"/>
      <c r="DC15" s="740"/>
      <c r="DD15" s="740"/>
      <c r="DE15" s="740"/>
      <c r="DF15" s="740"/>
      <c r="DG15" s="740"/>
      <c r="DH15" s="740"/>
      <c r="DI15" s="740"/>
      <c r="DJ15" s="740"/>
      <c r="DK15" s="740"/>
      <c r="DL15" s="740"/>
      <c r="DM15" s="740"/>
      <c r="DN15" s="740"/>
      <c r="DO15" s="740"/>
      <c r="DP15" s="740"/>
      <c r="DQ15" s="740"/>
      <c r="DR15" s="740"/>
      <c r="DS15" s="740"/>
      <c r="DT15" s="740"/>
      <c r="DU15" s="740"/>
      <c r="DV15" s="740"/>
      <c r="DW15" s="740"/>
      <c r="DX15" s="740"/>
      <c r="DY15" s="740"/>
      <c r="DZ15" s="740"/>
      <c r="EA15" s="740"/>
      <c r="EB15" s="740"/>
      <c r="EC15" s="740"/>
      <c r="ED15" s="740"/>
      <c r="EE15" s="740"/>
      <c r="EF15" s="740"/>
      <c r="EG15" s="740"/>
      <c r="EH15" s="740"/>
      <c r="EI15" s="740"/>
      <c r="EJ15" s="740"/>
      <c r="EK15" s="740"/>
      <c r="EL15" s="740"/>
      <c r="EM15" s="740"/>
      <c r="EN15" s="740"/>
      <c r="EO15" s="740"/>
      <c r="EP15" s="740"/>
      <c r="EQ15" s="740"/>
      <c r="ER15" s="740"/>
      <c r="ES15" s="740"/>
      <c r="ET15" s="740"/>
      <c r="EU15" s="740"/>
      <c r="EV15" s="740"/>
      <c r="EW15" s="740"/>
      <c r="EX15" s="740"/>
      <c r="EY15" s="740"/>
      <c r="EZ15" s="740"/>
      <c r="FA15" s="740"/>
      <c r="FB15" s="740"/>
      <c r="FC15" s="740"/>
      <c r="FD15" s="740"/>
      <c r="FE15" s="740"/>
      <c r="FF15" s="740"/>
      <c r="FG15" s="740"/>
      <c r="FH15" s="740"/>
      <c r="FI15" s="740"/>
      <c r="FJ15" s="740"/>
      <c r="FK15" s="740"/>
      <c r="FL15" s="740"/>
      <c r="FM15" s="740"/>
      <c r="FN15" s="740"/>
      <c r="FO15" s="740"/>
      <c r="FP15" s="740"/>
      <c r="FQ15" s="740"/>
      <c r="FR15" s="740"/>
      <c r="FS15" s="740"/>
      <c r="FT15" s="740"/>
      <c r="FU15" s="740"/>
      <c r="FV15" s="740"/>
      <c r="FW15" s="740"/>
      <c r="FX15" s="740"/>
      <c r="FY15" s="740"/>
      <c r="FZ15" s="740"/>
      <c r="GA15" s="740"/>
      <c r="GB15" s="740"/>
      <c r="GC15" s="740"/>
      <c r="GD15" s="740"/>
      <c r="GE15" s="740"/>
      <c r="GF15" s="740"/>
      <c r="GG15" s="740"/>
      <c r="GH15" s="740"/>
      <c r="GI15" s="740"/>
      <c r="GJ15" s="740"/>
      <c r="GK15" s="740"/>
      <c r="GL15" s="740"/>
      <c r="GM15" s="740"/>
      <c r="GN15" s="740"/>
      <c r="GO15" s="740"/>
      <c r="GP15" s="740"/>
      <c r="GQ15" s="740"/>
      <c r="GR15" s="740"/>
      <c r="GS15" s="740"/>
      <c r="GT15" s="740"/>
      <c r="GU15" s="740"/>
      <c r="GV15" s="740"/>
      <c r="GW15" s="740"/>
    </row>
    <row r="16" spans="1:205" s="749" customFormat="1" ht="22.9" customHeight="1" x14ac:dyDescent="0.2">
      <c r="A16" s="2503"/>
      <c r="B16" s="739"/>
      <c r="C16" s="1483"/>
      <c r="D16" s="189"/>
      <c r="E16" s="123"/>
      <c r="F16" s="2279" t="s">
        <v>1055</v>
      </c>
      <c r="G16" s="189"/>
      <c r="H16" s="189"/>
      <c r="K16" s="2278" t="s">
        <v>1155</v>
      </c>
      <c r="L16" s="2634">
        <v>26</v>
      </c>
      <c r="M16" s="2629">
        <f>L177</f>
        <v>15.6</v>
      </c>
      <c r="N16" s="2635">
        <v>24</v>
      </c>
      <c r="O16" s="2630">
        <f>N177</f>
        <v>16.8</v>
      </c>
      <c r="P16" s="2635">
        <v>22</v>
      </c>
      <c r="Q16" s="2631">
        <f>P177</f>
        <v>17.600000000000001</v>
      </c>
      <c r="R16" s="2503"/>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c r="AT16" s="740"/>
      <c r="AU16" s="740"/>
      <c r="AV16" s="740"/>
      <c r="AW16" s="740"/>
      <c r="AX16" s="740"/>
      <c r="AY16" s="740"/>
      <c r="AZ16" s="740"/>
      <c r="BA16" s="740"/>
      <c r="BB16" s="740"/>
      <c r="BC16" s="740"/>
      <c r="BD16" s="740"/>
      <c r="BE16" s="740"/>
      <c r="BF16" s="740"/>
      <c r="BG16" s="740"/>
      <c r="BH16" s="740"/>
      <c r="BI16" s="740"/>
      <c r="BJ16" s="740"/>
      <c r="BK16" s="740"/>
      <c r="BL16" s="740"/>
      <c r="BM16" s="740"/>
      <c r="BN16" s="740"/>
      <c r="BO16" s="740"/>
      <c r="BP16" s="740"/>
      <c r="BQ16" s="740"/>
      <c r="BR16" s="740"/>
      <c r="BS16" s="740"/>
      <c r="BT16" s="740"/>
      <c r="BU16" s="740"/>
      <c r="BV16" s="740"/>
      <c r="BW16" s="740"/>
      <c r="BX16" s="740"/>
      <c r="BY16" s="740"/>
      <c r="BZ16" s="740"/>
      <c r="CA16" s="740"/>
      <c r="CB16" s="740"/>
      <c r="CC16" s="740"/>
      <c r="CD16" s="740"/>
      <c r="CE16" s="740"/>
      <c r="CF16" s="740"/>
      <c r="CG16" s="740"/>
      <c r="CH16" s="740"/>
      <c r="CI16" s="740"/>
      <c r="CJ16" s="740"/>
      <c r="CK16" s="740"/>
      <c r="CL16" s="740"/>
      <c r="CM16" s="740"/>
      <c r="CN16" s="740"/>
      <c r="CO16" s="740"/>
      <c r="CP16" s="740"/>
      <c r="CQ16" s="740"/>
      <c r="CR16" s="740"/>
      <c r="CS16" s="740"/>
      <c r="CT16" s="740"/>
      <c r="CU16" s="740"/>
      <c r="CV16" s="740"/>
      <c r="CW16" s="740"/>
      <c r="CX16" s="740"/>
      <c r="CY16" s="740"/>
      <c r="CZ16" s="740"/>
      <c r="DA16" s="740"/>
      <c r="DB16" s="740"/>
      <c r="DC16" s="740"/>
      <c r="DD16" s="740"/>
      <c r="DE16" s="740"/>
      <c r="DF16" s="740"/>
      <c r="DG16" s="740"/>
      <c r="DH16" s="740"/>
      <c r="DI16" s="740"/>
      <c r="DJ16" s="740"/>
      <c r="DK16" s="740"/>
      <c r="DL16" s="740"/>
      <c r="DM16" s="740"/>
      <c r="DN16" s="740"/>
      <c r="DO16" s="740"/>
      <c r="DP16" s="740"/>
      <c r="DQ16" s="740"/>
      <c r="DR16" s="740"/>
      <c r="DS16" s="740"/>
      <c r="DT16" s="740"/>
      <c r="DU16" s="740"/>
      <c r="DV16" s="740"/>
      <c r="DW16" s="740"/>
      <c r="DX16" s="740"/>
      <c r="DY16" s="740"/>
      <c r="DZ16" s="740"/>
      <c r="EA16" s="740"/>
      <c r="EB16" s="740"/>
      <c r="EC16" s="740"/>
      <c r="ED16" s="740"/>
      <c r="EE16" s="740"/>
      <c r="EF16" s="740"/>
      <c r="EG16" s="740"/>
      <c r="EH16" s="740"/>
      <c r="EI16" s="740"/>
      <c r="EJ16" s="740"/>
      <c r="EK16" s="740"/>
      <c r="EL16" s="740"/>
      <c r="EM16" s="740"/>
      <c r="EN16" s="740"/>
      <c r="EO16" s="740"/>
      <c r="EP16" s="740"/>
      <c r="EQ16" s="740"/>
      <c r="ER16" s="740"/>
      <c r="ES16" s="740"/>
      <c r="ET16" s="740"/>
      <c r="EU16" s="740"/>
      <c r="EV16" s="740"/>
      <c r="EW16" s="740"/>
      <c r="EX16" s="740"/>
      <c r="EY16" s="740"/>
      <c r="EZ16" s="740"/>
      <c r="FA16" s="740"/>
      <c r="FB16" s="740"/>
      <c r="FC16" s="740"/>
      <c r="FD16" s="740"/>
      <c r="FE16" s="740"/>
      <c r="FF16" s="740"/>
      <c r="FG16" s="740"/>
      <c r="FH16" s="740"/>
      <c r="FI16" s="740"/>
      <c r="FJ16" s="740"/>
      <c r="FK16" s="740"/>
      <c r="FL16" s="740"/>
      <c r="FM16" s="740"/>
      <c r="FN16" s="740"/>
      <c r="FO16" s="740"/>
      <c r="FP16" s="740"/>
      <c r="FQ16" s="740"/>
      <c r="FR16" s="740"/>
      <c r="FS16" s="740"/>
      <c r="FT16" s="740"/>
      <c r="FU16" s="740"/>
      <c r="FV16" s="740"/>
      <c r="FW16" s="740"/>
      <c r="FX16" s="740"/>
      <c r="FY16" s="740"/>
      <c r="FZ16" s="740"/>
      <c r="GA16" s="740"/>
      <c r="GB16" s="740"/>
      <c r="GC16" s="740"/>
      <c r="GD16" s="740"/>
      <c r="GE16" s="740"/>
      <c r="GF16" s="740"/>
      <c r="GG16" s="740"/>
      <c r="GH16" s="740"/>
      <c r="GI16" s="740"/>
      <c r="GJ16" s="740"/>
      <c r="GK16" s="740"/>
      <c r="GL16" s="740"/>
      <c r="GM16" s="740"/>
      <c r="GN16" s="740"/>
      <c r="GO16" s="740"/>
      <c r="GP16" s="740"/>
      <c r="GQ16" s="740"/>
      <c r="GR16" s="740"/>
      <c r="GS16" s="740"/>
      <c r="GT16" s="740"/>
      <c r="GU16" s="740"/>
      <c r="GV16" s="740"/>
      <c r="GW16" s="740"/>
    </row>
    <row r="17" spans="1:205" s="749" customFormat="1" ht="22.9" customHeight="1" x14ac:dyDescent="0.2">
      <c r="A17" s="2503"/>
      <c r="B17" s="739"/>
      <c r="C17" s="1483"/>
      <c r="D17" s="189"/>
      <c r="E17" s="123"/>
      <c r="F17" s="2279" t="s">
        <v>1022</v>
      </c>
      <c r="G17" s="2361">
        <v>15</v>
      </c>
      <c r="H17" s="2279" t="s">
        <v>1021</v>
      </c>
      <c r="I17" s="2632"/>
      <c r="K17" s="1368"/>
      <c r="L17" s="2636">
        <f>M16*$G$17</f>
        <v>234</v>
      </c>
      <c r="M17" s="2286"/>
      <c r="N17" s="2637">
        <f>O16*$G$17</f>
        <v>252</v>
      </c>
      <c r="O17" s="2287"/>
      <c r="P17" s="2637">
        <f>Q16*$G$17</f>
        <v>264</v>
      </c>
      <c r="Q17" s="2288"/>
      <c r="R17" s="2503"/>
      <c r="W17" s="740"/>
      <c r="X17" s="740"/>
      <c r="Y17" s="740"/>
      <c r="Z17" s="740"/>
      <c r="AA17" s="740"/>
      <c r="AB17" s="740"/>
      <c r="AC17" s="740"/>
      <c r="AD17" s="740"/>
      <c r="AE17" s="740"/>
      <c r="AF17" s="740"/>
      <c r="AG17" s="740"/>
      <c r="AH17" s="740"/>
      <c r="AI17" s="740"/>
      <c r="AJ17" s="740"/>
      <c r="AK17" s="740"/>
      <c r="AL17" s="740"/>
      <c r="AM17" s="740"/>
      <c r="AN17" s="740"/>
      <c r="AO17" s="740"/>
      <c r="AP17" s="740"/>
      <c r="AQ17" s="740"/>
      <c r="AR17" s="740"/>
      <c r="AS17" s="740"/>
      <c r="AT17" s="740"/>
      <c r="AU17" s="740"/>
      <c r="AV17" s="740"/>
      <c r="AW17" s="740"/>
      <c r="AX17" s="740"/>
      <c r="AY17" s="740"/>
      <c r="AZ17" s="740"/>
      <c r="BA17" s="740"/>
      <c r="BB17" s="740"/>
      <c r="BC17" s="740"/>
      <c r="BD17" s="740"/>
      <c r="BE17" s="740"/>
      <c r="BF17" s="740"/>
      <c r="BG17" s="740"/>
      <c r="BH17" s="740"/>
      <c r="BI17" s="740"/>
      <c r="BJ17" s="740"/>
      <c r="BK17" s="740"/>
      <c r="BL17" s="740"/>
      <c r="BM17" s="740"/>
      <c r="BN17" s="740"/>
      <c r="BO17" s="740"/>
      <c r="BP17" s="740"/>
      <c r="BQ17" s="740"/>
      <c r="BR17" s="740"/>
      <c r="BS17" s="740"/>
      <c r="BT17" s="740"/>
      <c r="BU17" s="740"/>
      <c r="BV17" s="740"/>
      <c r="BW17" s="740"/>
      <c r="BX17" s="740"/>
      <c r="BY17" s="740"/>
      <c r="BZ17" s="740"/>
      <c r="CA17" s="740"/>
      <c r="CB17" s="740"/>
      <c r="CC17" s="740"/>
      <c r="CD17" s="740"/>
      <c r="CE17" s="740"/>
      <c r="CF17" s="740"/>
      <c r="CG17" s="740"/>
      <c r="CH17" s="740"/>
      <c r="CI17" s="740"/>
      <c r="CJ17" s="740"/>
      <c r="CK17" s="740"/>
      <c r="CL17" s="740"/>
      <c r="CM17" s="740"/>
      <c r="CN17" s="740"/>
      <c r="CO17" s="740"/>
      <c r="CP17" s="740"/>
      <c r="CQ17" s="740"/>
      <c r="CR17" s="740"/>
      <c r="CS17" s="740"/>
      <c r="CT17" s="740"/>
      <c r="CU17" s="740"/>
      <c r="CV17" s="740"/>
      <c r="CW17" s="740"/>
      <c r="CX17" s="740"/>
      <c r="CY17" s="740"/>
      <c r="CZ17" s="740"/>
      <c r="DA17" s="740"/>
      <c r="DB17" s="740"/>
      <c r="DC17" s="740"/>
      <c r="DD17" s="740"/>
      <c r="DE17" s="740"/>
      <c r="DF17" s="740"/>
      <c r="DG17" s="740"/>
      <c r="DH17" s="740"/>
      <c r="DI17" s="740"/>
      <c r="DJ17" s="740"/>
      <c r="DK17" s="740"/>
      <c r="DL17" s="740"/>
      <c r="DM17" s="740"/>
      <c r="DN17" s="740"/>
      <c r="DO17" s="740"/>
      <c r="DP17" s="740"/>
      <c r="DQ17" s="740"/>
      <c r="DR17" s="740"/>
      <c r="DS17" s="740"/>
      <c r="DT17" s="740"/>
      <c r="DU17" s="740"/>
      <c r="DV17" s="740"/>
      <c r="DW17" s="740"/>
      <c r="DX17" s="740"/>
      <c r="DY17" s="740"/>
      <c r="DZ17" s="740"/>
      <c r="EA17" s="740"/>
      <c r="EB17" s="740"/>
      <c r="EC17" s="740"/>
      <c r="ED17" s="740"/>
      <c r="EE17" s="740"/>
      <c r="EF17" s="740"/>
      <c r="EG17" s="740"/>
      <c r="EH17" s="740"/>
      <c r="EI17" s="740"/>
      <c r="EJ17" s="740"/>
      <c r="EK17" s="740"/>
      <c r="EL17" s="740"/>
      <c r="EM17" s="740"/>
      <c r="EN17" s="740"/>
      <c r="EO17" s="740"/>
      <c r="EP17" s="740"/>
      <c r="EQ17" s="740"/>
      <c r="ER17" s="740"/>
      <c r="ES17" s="740"/>
      <c r="ET17" s="740"/>
      <c r="EU17" s="740"/>
      <c r="EV17" s="740"/>
      <c r="EW17" s="740"/>
      <c r="EX17" s="740"/>
      <c r="EY17" s="740"/>
      <c r="EZ17" s="740"/>
      <c r="FA17" s="740"/>
      <c r="FB17" s="740"/>
      <c r="FC17" s="740"/>
      <c r="FD17" s="740"/>
      <c r="FE17" s="740"/>
      <c r="FF17" s="740"/>
      <c r="FG17" s="740"/>
      <c r="FH17" s="740"/>
      <c r="FI17" s="740"/>
      <c r="FJ17" s="740"/>
      <c r="FK17" s="740"/>
      <c r="FL17" s="740"/>
      <c r="FM17" s="740"/>
      <c r="FN17" s="740"/>
      <c r="FO17" s="740"/>
      <c r="FP17" s="740"/>
      <c r="FQ17" s="740"/>
      <c r="FR17" s="740"/>
      <c r="FS17" s="740"/>
      <c r="FT17" s="740"/>
      <c r="FU17" s="740"/>
      <c r="FV17" s="740"/>
      <c r="FW17" s="740"/>
      <c r="FX17" s="740"/>
      <c r="FY17" s="740"/>
      <c r="FZ17" s="740"/>
      <c r="GA17" s="740"/>
      <c r="GB17" s="740"/>
      <c r="GC17" s="740"/>
      <c r="GD17" s="740"/>
      <c r="GE17" s="740"/>
      <c r="GF17" s="740"/>
      <c r="GG17" s="740"/>
      <c r="GH17" s="740"/>
      <c r="GI17" s="740"/>
      <c r="GJ17" s="740"/>
      <c r="GK17" s="740"/>
      <c r="GL17" s="740"/>
      <c r="GM17" s="740"/>
      <c r="GN17" s="740"/>
      <c r="GO17" s="740"/>
      <c r="GP17" s="740"/>
      <c r="GQ17" s="740"/>
      <c r="GR17" s="740"/>
      <c r="GS17" s="740"/>
      <c r="GT17" s="740"/>
      <c r="GU17" s="740"/>
      <c r="GV17" s="740"/>
      <c r="GW17" s="740"/>
    </row>
    <row r="18" spans="1:205" ht="27.75" customHeight="1" x14ac:dyDescent="0.2">
      <c r="A18" s="2503"/>
      <c r="C18" s="1487"/>
      <c r="D18" s="642" t="s">
        <v>1086</v>
      </c>
      <c r="E18" s="178"/>
      <c r="F18" s="178"/>
      <c r="G18" s="178"/>
      <c r="H18" s="178"/>
      <c r="I18" s="1964"/>
      <c r="J18" s="199"/>
      <c r="K18" s="2277" t="s">
        <v>61</v>
      </c>
      <c r="L18" s="2482"/>
      <c r="M18" s="2470">
        <f>O18</f>
        <v>262.8</v>
      </c>
      <c r="N18" s="2483"/>
      <c r="O18" s="2472">
        <f>Preise!N31</f>
        <v>262.8</v>
      </c>
      <c r="P18" s="2484"/>
      <c r="Q18" s="2474">
        <f>O18</f>
        <v>262.8</v>
      </c>
      <c r="R18" s="2503"/>
      <c r="T18" s="740"/>
      <c r="U18" s="740"/>
      <c r="V18" s="740"/>
      <c r="W18" s="740"/>
      <c r="X18" s="740"/>
      <c r="Y18" s="740"/>
      <c r="Z18" s="740"/>
      <c r="AA18" s="740"/>
      <c r="AB18" s="740"/>
      <c r="AC18" s="740"/>
      <c r="AD18" s="740"/>
      <c r="AE18" s="740"/>
      <c r="AM18" s="740"/>
      <c r="AN18" s="740"/>
      <c r="AO18" s="740"/>
      <c r="AP18" s="740"/>
      <c r="AQ18" s="740"/>
      <c r="BJ18" s="740"/>
      <c r="BK18" s="740"/>
      <c r="BL18" s="740"/>
      <c r="BM18" s="740"/>
      <c r="BN18" s="740"/>
      <c r="BO18" s="740"/>
      <c r="BP18" s="740"/>
      <c r="BQ18" s="740"/>
      <c r="BR18" s="740"/>
      <c r="BS18" s="740"/>
      <c r="BT18" s="740"/>
      <c r="BU18" s="740"/>
      <c r="BV18" s="740"/>
      <c r="BW18" s="740"/>
      <c r="BX18" s="740"/>
      <c r="BY18" s="740"/>
      <c r="BZ18" s="740"/>
      <c r="CA18" s="740"/>
      <c r="CB18" s="740"/>
      <c r="CC18" s="740"/>
      <c r="CD18" s="740"/>
      <c r="CE18" s="740"/>
      <c r="CF18" s="740"/>
      <c r="CG18" s="740"/>
      <c r="CH18" s="740"/>
      <c r="CI18" s="740"/>
      <c r="CJ18" s="740"/>
      <c r="CK18" s="740"/>
      <c r="CL18" s="740"/>
      <c r="CM18" s="740"/>
      <c r="CN18" s="740"/>
      <c r="CO18" s="740"/>
      <c r="CP18" s="740"/>
      <c r="CQ18" s="740"/>
      <c r="CR18" s="740"/>
      <c r="CS18" s="740"/>
      <c r="CT18" s="740"/>
      <c r="CU18" s="740"/>
      <c r="CV18" s="740"/>
      <c r="CW18" s="740"/>
      <c r="CX18" s="740"/>
      <c r="CY18" s="740"/>
      <c r="CZ18" s="740"/>
      <c r="DA18" s="740"/>
      <c r="DB18" s="740"/>
      <c r="DC18" s="740"/>
      <c r="DD18" s="740"/>
      <c r="DE18" s="740"/>
      <c r="DF18" s="740"/>
      <c r="DG18" s="740"/>
      <c r="DH18" s="740"/>
      <c r="DI18" s="740"/>
      <c r="DJ18" s="740"/>
      <c r="DK18" s="740"/>
      <c r="DL18" s="740"/>
      <c r="DM18" s="740"/>
      <c r="DN18" s="740"/>
      <c r="DO18" s="740"/>
      <c r="DP18" s="740"/>
      <c r="DQ18" s="740"/>
      <c r="DR18" s="740"/>
      <c r="DS18" s="740"/>
      <c r="DT18" s="740"/>
      <c r="DU18" s="740"/>
      <c r="DV18" s="740"/>
      <c r="DW18" s="740"/>
      <c r="DX18" s="740"/>
      <c r="DY18" s="740"/>
      <c r="DZ18" s="740"/>
      <c r="EA18" s="740"/>
      <c r="EB18" s="740"/>
      <c r="EC18" s="740"/>
      <c r="ED18" s="740"/>
      <c r="EE18" s="740"/>
      <c r="EF18" s="740"/>
      <c r="EG18" s="740"/>
      <c r="EH18" s="740"/>
      <c r="EI18" s="740"/>
      <c r="EJ18" s="740"/>
      <c r="EK18" s="740"/>
      <c r="EL18" s="740"/>
      <c r="EM18" s="740"/>
      <c r="EN18" s="740"/>
      <c r="EO18" s="740"/>
      <c r="EP18" s="740"/>
      <c r="EQ18" s="740"/>
      <c r="ER18" s="740"/>
      <c r="ES18" s="740"/>
      <c r="ET18" s="740"/>
      <c r="EU18" s="740"/>
      <c r="EV18" s="740"/>
      <c r="EW18" s="740"/>
      <c r="EX18" s="740"/>
      <c r="EY18" s="740"/>
      <c r="EZ18" s="740"/>
      <c r="FA18" s="740"/>
      <c r="FB18" s="740"/>
      <c r="FC18" s="740"/>
      <c r="FD18" s="740"/>
      <c r="FE18" s="740"/>
      <c r="FF18" s="740"/>
      <c r="FG18" s="740"/>
      <c r="FH18" s="740"/>
      <c r="FI18" s="740"/>
      <c r="FJ18" s="740"/>
      <c r="FK18" s="740"/>
      <c r="FL18" s="740"/>
      <c r="FM18" s="740"/>
      <c r="FN18" s="740"/>
      <c r="FO18" s="740"/>
      <c r="FP18" s="740"/>
      <c r="FQ18" s="740"/>
      <c r="FR18" s="740"/>
      <c r="FS18" s="740"/>
      <c r="FT18" s="740"/>
      <c r="FU18" s="740"/>
      <c r="FV18" s="740"/>
      <c r="FW18" s="740"/>
      <c r="FX18" s="740"/>
      <c r="FY18" s="740"/>
      <c r="FZ18" s="740"/>
      <c r="GA18" s="740"/>
      <c r="GB18" s="740"/>
      <c r="GC18" s="740"/>
      <c r="GD18" s="740"/>
      <c r="GE18" s="740"/>
      <c r="GF18" s="740"/>
      <c r="GG18" s="740"/>
      <c r="GH18" s="740"/>
      <c r="GI18" s="740"/>
      <c r="GJ18" s="740"/>
      <c r="GK18" s="740"/>
      <c r="GL18" s="740"/>
      <c r="GM18" s="740"/>
      <c r="GN18" s="740"/>
      <c r="GO18" s="740"/>
      <c r="GP18" s="740"/>
      <c r="GQ18" s="740"/>
      <c r="GR18" s="740"/>
      <c r="GS18" s="740"/>
      <c r="GT18" s="740"/>
      <c r="GU18" s="740"/>
      <c r="GV18" s="740"/>
      <c r="GW18" s="740"/>
    </row>
    <row r="19" spans="1:205" ht="22.9" customHeight="1" x14ac:dyDescent="0.2">
      <c r="A19" s="2503"/>
      <c r="C19" s="1487"/>
      <c r="D19" s="2952" t="s">
        <v>709</v>
      </c>
      <c r="E19" s="178"/>
      <c r="F19" s="178"/>
      <c r="G19" s="178"/>
      <c r="H19" s="178"/>
      <c r="K19" s="1364"/>
      <c r="L19" s="2482"/>
      <c r="M19" s="2470">
        <f>$Q$158</f>
        <v>221.34176029741849</v>
      </c>
      <c r="N19" s="2483"/>
      <c r="O19" s="2472">
        <f>Q158</f>
        <v>221.34176029741849</v>
      </c>
      <c r="P19" s="2484"/>
      <c r="Q19" s="2474">
        <f>$Q$158</f>
        <v>221.34176029741849</v>
      </c>
      <c r="R19" s="2503"/>
      <c r="T19" s="740"/>
      <c r="U19" s="740"/>
      <c r="V19" s="740"/>
      <c r="W19" s="740"/>
      <c r="X19" s="740"/>
      <c r="Y19" s="740"/>
      <c r="Z19" s="740"/>
      <c r="AA19" s="740"/>
      <c r="AB19" s="740"/>
      <c r="AC19" s="740"/>
      <c r="AD19" s="740"/>
      <c r="AE19" s="740"/>
      <c r="AM19" s="740"/>
      <c r="AN19" s="740"/>
      <c r="AO19" s="740"/>
      <c r="AP19" s="740"/>
      <c r="AQ19" s="740"/>
      <c r="BJ19" s="740"/>
      <c r="BK19" s="740"/>
      <c r="BL19" s="740"/>
      <c r="BM19" s="740"/>
      <c r="BN19" s="740"/>
      <c r="BO19" s="740"/>
      <c r="BP19" s="740"/>
      <c r="BQ19" s="740"/>
      <c r="BR19" s="740"/>
      <c r="BS19" s="740"/>
      <c r="BT19" s="740"/>
      <c r="BU19" s="740"/>
      <c r="BV19" s="740"/>
      <c r="BW19" s="740"/>
      <c r="BX19" s="740"/>
      <c r="BY19" s="740"/>
      <c r="BZ19" s="740"/>
      <c r="CA19" s="740"/>
      <c r="CB19" s="740"/>
      <c r="CC19" s="740"/>
      <c r="CD19" s="740"/>
      <c r="CE19" s="740"/>
      <c r="CF19" s="740"/>
      <c r="CG19" s="740"/>
      <c r="CH19" s="740"/>
      <c r="CI19" s="740"/>
      <c r="CJ19" s="740"/>
      <c r="CK19" s="740"/>
      <c r="CL19" s="740"/>
      <c r="CM19" s="740"/>
      <c r="CN19" s="740"/>
      <c r="CO19" s="740"/>
      <c r="CP19" s="740"/>
      <c r="CQ19" s="740"/>
      <c r="CR19" s="740"/>
      <c r="CS19" s="740"/>
      <c r="CT19" s="740"/>
      <c r="CU19" s="740"/>
      <c r="CV19" s="740"/>
      <c r="CW19" s="740"/>
      <c r="CX19" s="740"/>
      <c r="CY19" s="740"/>
      <c r="CZ19" s="740"/>
      <c r="DA19" s="740"/>
      <c r="DB19" s="740"/>
      <c r="DC19" s="740"/>
      <c r="DD19" s="740"/>
      <c r="DE19" s="740"/>
      <c r="DF19" s="740"/>
      <c r="DG19" s="740"/>
      <c r="DH19" s="740"/>
      <c r="DI19" s="740"/>
      <c r="DJ19" s="740"/>
      <c r="DK19" s="740"/>
      <c r="DL19" s="740"/>
      <c r="DM19" s="740"/>
      <c r="DN19" s="740"/>
      <c r="DO19" s="740"/>
      <c r="DP19" s="740"/>
      <c r="DQ19" s="740"/>
      <c r="DR19" s="740"/>
      <c r="DS19" s="740"/>
      <c r="DT19" s="740"/>
      <c r="DU19" s="740"/>
      <c r="DV19" s="740"/>
      <c r="DW19" s="740"/>
      <c r="DX19" s="740"/>
      <c r="DY19" s="740"/>
      <c r="DZ19" s="740"/>
      <c r="EA19" s="740"/>
      <c r="EB19" s="740"/>
      <c r="EC19" s="740"/>
      <c r="ED19" s="740"/>
      <c r="EE19" s="740"/>
      <c r="EF19" s="740"/>
      <c r="EG19" s="740"/>
      <c r="EH19" s="740"/>
      <c r="EI19" s="740"/>
      <c r="EJ19" s="740"/>
      <c r="EK19" s="740"/>
      <c r="EL19" s="740"/>
      <c r="EM19" s="740"/>
      <c r="EN19" s="740"/>
      <c r="EO19" s="740"/>
      <c r="EP19" s="740"/>
      <c r="EQ19" s="740"/>
      <c r="ER19" s="740"/>
      <c r="ES19" s="740"/>
      <c r="ET19" s="740"/>
      <c r="EU19" s="740"/>
      <c r="EV19" s="740"/>
      <c r="EW19" s="740"/>
      <c r="EX19" s="740"/>
      <c r="EY19" s="740"/>
      <c r="EZ19" s="740"/>
      <c r="FA19" s="740"/>
      <c r="FB19" s="740"/>
      <c r="FC19" s="740"/>
      <c r="FD19" s="740"/>
      <c r="FE19" s="740"/>
      <c r="FF19" s="740"/>
      <c r="FG19" s="740"/>
      <c r="FH19" s="740"/>
      <c r="FI19" s="740"/>
      <c r="FJ19" s="740"/>
      <c r="FK19" s="740"/>
      <c r="FL19" s="740"/>
      <c r="FM19" s="740"/>
      <c r="FN19" s="740"/>
      <c r="FO19" s="740"/>
      <c r="FP19" s="740"/>
      <c r="FQ19" s="740"/>
      <c r="FR19" s="740"/>
      <c r="FS19" s="740"/>
      <c r="FT19" s="740"/>
      <c r="FU19" s="740"/>
      <c r="FV19" s="740"/>
      <c r="FW19" s="740"/>
      <c r="FX19" s="740"/>
      <c r="FY19" s="740"/>
      <c r="FZ19" s="740"/>
      <c r="GA19" s="740"/>
      <c r="GB19" s="740"/>
      <c r="GC19" s="740"/>
      <c r="GD19" s="740"/>
      <c r="GE19" s="740"/>
      <c r="GF19" s="740"/>
      <c r="GG19" s="740"/>
      <c r="GH19" s="740"/>
      <c r="GI19" s="740"/>
      <c r="GJ19" s="740"/>
      <c r="GK19" s="740"/>
      <c r="GL19" s="740"/>
      <c r="GM19" s="740"/>
      <c r="GN19" s="740"/>
      <c r="GO19" s="740"/>
      <c r="GP19" s="740"/>
      <c r="GQ19" s="740"/>
      <c r="GR19" s="740"/>
      <c r="GS19" s="740"/>
      <c r="GT19" s="740"/>
      <c r="GU19" s="740"/>
      <c r="GV19" s="740"/>
      <c r="GW19" s="740"/>
    </row>
    <row r="20" spans="1:205" s="758" customFormat="1" ht="22.9" customHeight="1" x14ac:dyDescent="0.2">
      <c r="A20" s="2503"/>
      <c r="B20" s="739"/>
      <c r="C20" s="1488"/>
      <c r="D20" s="809" t="s">
        <v>1158</v>
      </c>
      <c r="E20" s="178"/>
      <c r="F20" s="1290"/>
      <c r="G20" s="178"/>
      <c r="H20" s="374"/>
      <c r="I20" s="115"/>
      <c r="J20" s="115"/>
      <c r="K20" s="2280" t="s">
        <v>61</v>
      </c>
      <c r="L20" s="2485"/>
      <c r="M20" s="2486">
        <f>SUM(M22:M24)</f>
        <v>146.08000000000001</v>
      </c>
      <c r="N20" s="2487"/>
      <c r="O20" s="2488">
        <f>SUM(O22:O24)</f>
        <v>201.73250000000002</v>
      </c>
      <c r="P20" s="2489"/>
      <c r="Q20" s="2490">
        <f>SUM(Q22:Q24)</f>
        <v>257.38499999999999</v>
      </c>
      <c r="R20" s="2503"/>
      <c r="T20" s="740"/>
      <c r="U20" s="740"/>
      <c r="V20" s="740"/>
      <c r="W20" s="740"/>
      <c r="X20" s="740"/>
      <c r="Y20" s="740"/>
      <c r="Z20" s="740"/>
      <c r="AA20" s="740"/>
      <c r="AB20" s="740"/>
      <c r="AC20" s="740"/>
      <c r="AD20" s="740"/>
      <c r="AE20" s="740"/>
      <c r="AM20" s="740"/>
      <c r="AN20" s="740"/>
      <c r="AO20" s="740"/>
      <c r="AP20" s="740"/>
      <c r="AQ20" s="740"/>
      <c r="BJ20" s="740"/>
      <c r="BK20" s="740"/>
      <c r="BL20" s="740"/>
      <c r="BM20" s="740"/>
      <c r="BN20" s="740"/>
      <c r="BO20" s="740"/>
      <c r="BP20" s="740"/>
      <c r="BQ20" s="740"/>
      <c r="BR20" s="740"/>
      <c r="BS20" s="740"/>
      <c r="BT20" s="740"/>
      <c r="BU20" s="740"/>
      <c r="BV20" s="740"/>
      <c r="BW20" s="740"/>
      <c r="BX20" s="740"/>
      <c r="BY20" s="740"/>
      <c r="BZ20" s="740"/>
      <c r="CA20" s="740"/>
      <c r="CB20" s="740"/>
      <c r="CC20" s="740"/>
      <c r="CD20" s="740"/>
      <c r="CE20" s="740"/>
      <c r="CF20" s="740"/>
      <c r="CG20" s="740"/>
      <c r="CH20" s="740"/>
      <c r="CI20" s="740"/>
      <c r="CJ20" s="740"/>
      <c r="CK20" s="740"/>
      <c r="CL20" s="740"/>
      <c r="CM20" s="740"/>
      <c r="CN20" s="740"/>
      <c r="CO20" s="740"/>
      <c r="CP20" s="740"/>
      <c r="CQ20" s="740"/>
      <c r="CR20" s="740"/>
      <c r="CS20" s="740"/>
      <c r="CT20" s="740"/>
      <c r="CU20" s="740"/>
      <c r="CV20" s="740"/>
      <c r="CW20" s="740"/>
      <c r="CX20" s="740"/>
      <c r="CY20" s="740"/>
      <c r="CZ20" s="740"/>
      <c r="DA20" s="740"/>
      <c r="DB20" s="740"/>
      <c r="DC20" s="740"/>
      <c r="DD20" s="740"/>
      <c r="DE20" s="740"/>
      <c r="DF20" s="740"/>
      <c r="DG20" s="740"/>
      <c r="DH20" s="740"/>
      <c r="DI20" s="740"/>
      <c r="DJ20" s="740"/>
      <c r="DK20" s="740"/>
      <c r="DL20" s="740"/>
      <c r="DM20" s="740"/>
      <c r="DN20" s="740"/>
      <c r="DO20" s="740"/>
      <c r="DP20" s="740"/>
      <c r="DQ20" s="740"/>
      <c r="DR20" s="740"/>
      <c r="DS20" s="740"/>
      <c r="DT20" s="740"/>
      <c r="DU20" s="740"/>
      <c r="DV20" s="740"/>
      <c r="DW20" s="740"/>
      <c r="DX20" s="740"/>
      <c r="DY20" s="740"/>
      <c r="DZ20" s="740"/>
      <c r="EA20" s="740"/>
      <c r="EB20" s="740"/>
      <c r="EC20" s="740"/>
      <c r="ED20" s="740"/>
      <c r="EE20" s="740"/>
      <c r="EF20" s="740"/>
      <c r="EG20" s="740"/>
      <c r="EH20" s="740"/>
      <c r="EI20" s="740"/>
      <c r="EJ20" s="740"/>
      <c r="EK20" s="740"/>
      <c r="EL20" s="740"/>
      <c r="EM20" s="740"/>
      <c r="EN20" s="740"/>
      <c r="EO20" s="740"/>
      <c r="EP20" s="740"/>
      <c r="EQ20" s="740"/>
      <c r="ER20" s="740"/>
      <c r="ES20" s="740"/>
      <c r="ET20" s="740"/>
      <c r="EU20" s="740"/>
      <c r="EV20" s="740"/>
      <c r="EW20" s="740"/>
      <c r="EX20" s="740"/>
      <c r="EY20" s="740"/>
      <c r="EZ20" s="740"/>
      <c r="FA20" s="740"/>
      <c r="FB20" s="740"/>
      <c r="FC20" s="740"/>
      <c r="FD20" s="740"/>
      <c r="FE20" s="740"/>
      <c r="FF20" s="740"/>
      <c r="FG20" s="740"/>
      <c r="FH20" s="740"/>
      <c r="FI20" s="740"/>
      <c r="FJ20" s="740"/>
      <c r="FK20" s="740"/>
      <c r="FL20" s="740"/>
      <c r="FM20" s="740"/>
      <c r="FN20" s="740"/>
      <c r="FO20" s="740"/>
      <c r="FP20" s="740"/>
      <c r="FQ20" s="740"/>
      <c r="FR20" s="740"/>
      <c r="FS20" s="740"/>
      <c r="FT20" s="740"/>
      <c r="FU20" s="740"/>
      <c r="FV20" s="740"/>
      <c r="FW20" s="740"/>
      <c r="FX20" s="740"/>
      <c r="FY20" s="740"/>
      <c r="FZ20" s="740"/>
      <c r="GA20" s="740"/>
      <c r="GB20" s="740"/>
      <c r="GC20" s="740"/>
      <c r="GD20" s="740"/>
      <c r="GE20" s="740"/>
      <c r="GF20" s="740"/>
      <c r="GG20" s="740"/>
      <c r="GH20" s="740"/>
      <c r="GI20" s="740"/>
      <c r="GJ20" s="740"/>
      <c r="GK20" s="740"/>
      <c r="GL20" s="740"/>
      <c r="GM20" s="740"/>
      <c r="GN20" s="740"/>
      <c r="GO20" s="740"/>
      <c r="GP20" s="740"/>
      <c r="GQ20" s="740"/>
      <c r="GR20" s="740"/>
      <c r="GS20" s="740"/>
      <c r="GT20" s="740"/>
      <c r="GU20" s="740"/>
      <c r="GV20" s="740"/>
      <c r="GW20" s="740"/>
    </row>
    <row r="21" spans="1:205" s="758" customFormat="1" ht="27.75" customHeight="1" x14ac:dyDescent="0.2">
      <c r="A21" s="2503"/>
      <c r="B21" s="739"/>
      <c r="C21" s="4014" t="s">
        <v>1159</v>
      </c>
      <c r="D21" s="4015"/>
      <c r="E21" s="4015"/>
      <c r="F21" s="4015"/>
      <c r="G21" s="4016"/>
      <c r="H21" s="2290" t="s">
        <v>1013</v>
      </c>
      <c r="I21" s="2291"/>
      <c r="J21" s="2292"/>
      <c r="K21" s="2293"/>
      <c r="L21" s="2294" t="s">
        <v>1160</v>
      </c>
      <c r="M21" s="2295" t="s">
        <v>246</v>
      </c>
      <c r="N21" s="2296" t="s">
        <v>1160</v>
      </c>
      <c r="O21" s="2297" t="s">
        <v>246</v>
      </c>
      <c r="P21" s="2298" t="s">
        <v>1160</v>
      </c>
      <c r="Q21" s="2299" t="s">
        <v>246</v>
      </c>
      <c r="R21" s="2503"/>
      <c r="T21" s="740"/>
      <c r="U21" s="740"/>
      <c r="V21" s="740"/>
      <c r="W21" s="740"/>
      <c r="X21" s="740"/>
      <c r="Y21" s="740"/>
      <c r="Z21" s="740"/>
      <c r="AA21" s="740"/>
      <c r="AB21" s="740"/>
      <c r="AC21" s="740"/>
      <c r="AD21" s="740"/>
      <c r="AE21" s="740"/>
      <c r="AM21" s="740"/>
      <c r="AN21" s="740"/>
      <c r="AO21" s="740"/>
      <c r="AP21" s="740"/>
      <c r="AQ21" s="740"/>
      <c r="BJ21" s="740"/>
      <c r="BK21" s="740"/>
      <c r="BL21" s="740"/>
      <c r="BM21" s="740"/>
      <c r="BN21" s="740"/>
      <c r="BO21" s="740"/>
      <c r="BP21" s="740"/>
      <c r="BQ21" s="740"/>
      <c r="BR21" s="740"/>
      <c r="BS21" s="740"/>
      <c r="BT21" s="740"/>
      <c r="BU21" s="740"/>
      <c r="BV21" s="740"/>
      <c r="BW21" s="740"/>
      <c r="BX21" s="740"/>
      <c r="BY21" s="740"/>
      <c r="BZ21" s="740"/>
      <c r="CA21" s="740"/>
      <c r="CB21" s="740"/>
      <c r="CC21" s="740"/>
      <c r="CD21" s="740"/>
      <c r="CE21" s="740"/>
      <c r="CF21" s="740"/>
      <c r="CG21" s="740"/>
      <c r="CH21" s="740"/>
      <c r="CI21" s="740"/>
      <c r="CJ21" s="740"/>
      <c r="CK21" s="740"/>
      <c r="CL21" s="740"/>
      <c r="CM21" s="740"/>
      <c r="CN21" s="740"/>
      <c r="CO21" s="740"/>
      <c r="CP21" s="740"/>
      <c r="CQ21" s="740"/>
      <c r="CR21" s="740"/>
      <c r="CS21" s="740"/>
      <c r="CT21" s="740"/>
      <c r="CU21" s="740"/>
      <c r="CV21" s="740"/>
      <c r="CW21" s="740"/>
      <c r="CX21" s="740"/>
      <c r="CY21" s="740"/>
      <c r="CZ21" s="740"/>
      <c r="DA21" s="740"/>
      <c r="DB21" s="740"/>
      <c r="DC21" s="740"/>
      <c r="DD21" s="740"/>
      <c r="DE21" s="740"/>
      <c r="DF21" s="740"/>
      <c r="DG21" s="740"/>
      <c r="DH21" s="740"/>
      <c r="DI21" s="740"/>
      <c r="DJ21" s="740"/>
      <c r="DK21" s="740"/>
      <c r="DL21" s="740"/>
      <c r="DM21" s="740"/>
      <c r="DN21" s="740"/>
      <c r="DO21" s="740"/>
      <c r="DP21" s="740"/>
      <c r="DQ21" s="740"/>
      <c r="DR21" s="740"/>
      <c r="DS21" s="740"/>
      <c r="DT21" s="740"/>
      <c r="DU21" s="740"/>
      <c r="DV21" s="740"/>
      <c r="DW21" s="740"/>
      <c r="DX21" s="740"/>
      <c r="DY21" s="740"/>
      <c r="DZ21" s="740"/>
      <c r="EA21" s="740"/>
      <c r="EB21" s="740"/>
      <c r="EC21" s="740"/>
      <c r="ED21" s="740"/>
      <c r="EE21" s="740"/>
      <c r="EF21" s="740"/>
      <c r="EG21" s="740"/>
      <c r="EH21" s="740"/>
      <c r="EI21" s="740"/>
      <c r="EJ21" s="740"/>
      <c r="EK21" s="740"/>
      <c r="EL21" s="740"/>
      <c r="EM21" s="740"/>
      <c r="EN21" s="740"/>
      <c r="EO21" s="740"/>
      <c r="EP21" s="740"/>
      <c r="EQ21" s="740"/>
      <c r="ER21" s="740"/>
      <c r="ES21" s="740"/>
      <c r="ET21" s="740"/>
      <c r="EU21" s="740"/>
      <c r="EV21" s="740"/>
      <c r="EW21" s="740"/>
      <c r="EX21" s="740"/>
      <c r="EY21" s="740"/>
      <c r="EZ21" s="740"/>
      <c r="FA21" s="740"/>
      <c r="FB21" s="740"/>
      <c r="FC21" s="740"/>
      <c r="FD21" s="740"/>
      <c r="FE21" s="740"/>
      <c r="FF21" s="740"/>
      <c r="FG21" s="740"/>
      <c r="FH21" s="740"/>
      <c r="FI21" s="740"/>
      <c r="FJ21" s="740"/>
      <c r="FK21" s="740"/>
      <c r="FL21" s="740"/>
      <c r="FM21" s="740"/>
      <c r="FN21" s="740"/>
      <c r="FO21" s="740"/>
      <c r="FP21" s="740"/>
      <c r="FQ21" s="740"/>
      <c r="FR21" s="740"/>
      <c r="FS21" s="740"/>
      <c r="FT21" s="740"/>
      <c r="FU21" s="740"/>
      <c r="FV21" s="740"/>
      <c r="FW21" s="740"/>
      <c r="FX21" s="740"/>
      <c r="FY21" s="740"/>
      <c r="FZ21" s="740"/>
      <c r="GA21" s="740"/>
      <c r="GB21" s="740"/>
      <c r="GC21" s="740"/>
      <c r="GD21" s="740"/>
      <c r="GE21" s="740"/>
      <c r="GF21" s="740"/>
      <c r="GG21" s="740"/>
      <c r="GH21" s="740"/>
      <c r="GI21" s="740"/>
      <c r="GJ21" s="740"/>
      <c r="GK21" s="740"/>
      <c r="GL21" s="740"/>
      <c r="GM21" s="740"/>
      <c r="GN21" s="740"/>
      <c r="GO21" s="740"/>
      <c r="GP21" s="740"/>
      <c r="GQ21" s="740"/>
      <c r="GR21" s="740"/>
      <c r="GS21" s="740"/>
      <c r="GT21" s="740"/>
      <c r="GU21" s="740"/>
      <c r="GV21" s="740"/>
      <c r="GW21" s="740"/>
    </row>
    <row r="22" spans="1:205" ht="18" customHeight="1" x14ac:dyDescent="0.25">
      <c r="A22" s="2503"/>
      <c r="C22" s="2300"/>
      <c r="D22" s="2301">
        <v>0</v>
      </c>
      <c r="E22" s="2302">
        <f>IF(OR(D22&gt;9,D22=0),0,INDEX(Preise!$C$45:$N$54,D22,2))</f>
        <v>0</v>
      </c>
      <c r="F22" s="2303"/>
      <c r="G22" s="2289"/>
      <c r="H22" s="2304">
        <f>IF(OR(D22&gt;9,D22=0),0,INDEX(Preise!$C$45:$N$54,D22,13))</f>
        <v>0</v>
      </c>
      <c r="I22" s="2305"/>
      <c r="J22" s="2303"/>
      <c r="K22" s="2278"/>
      <c r="L22" s="2306"/>
      <c r="M22" s="2307">
        <f>L22*$H22</f>
        <v>0</v>
      </c>
      <c r="N22" s="2308"/>
      <c r="O22" s="2309">
        <f>N22*$H22</f>
        <v>0</v>
      </c>
      <c r="P22" s="2308"/>
      <c r="Q22" s="2310">
        <f>P22*$H22</f>
        <v>0</v>
      </c>
      <c r="R22" s="2503"/>
      <c r="T22" s="740"/>
      <c r="U22" s="740"/>
      <c r="V22" s="740"/>
      <c r="W22" s="740"/>
      <c r="X22" s="740"/>
      <c r="Y22" s="740"/>
      <c r="Z22" s="740"/>
      <c r="AA22" s="740"/>
      <c r="AB22" s="740"/>
      <c r="AC22" s="740"/>
      <c r="AD22" s="740"/>
      <c r="AE22" s="740"/>
      <c r="AM22" s="740"/>
      <c r="AN22" s="740"/>
      <c r="AO22" s="740"/>
      <c r="AP22" s="740"/>
      <c r="AQ22" s="740"/>
      <c r="BJ22" s="740"/>
      <c r="BK22" s="740"/>
      <c r="BL22" s="740"/>
      <c r="BM22" s="740"/>
      <c r="BN22" s="740"/>
      <c r="BO22" s="740"/>
      <c r="BP22" s="740"/>
      <c r="BQ22" s="740"/>
      <c r="BR22" s="740"/>
      <c r="BS22" s="740"/>
      <c r="BT22" s="740"/>
      <c r="BU22" s="740"/>
      <c r="BV22" s="740"/>
      <c r="BW22" s="740"/>
      <c r="BX22" s="740"/>
      <c r="BY22" s="740"/>
      <c r="BZ22" s="740"/>
      <c r="CA22" s="740"/>
      <c r="CB22" s="740"/>
      <c r="CC22" s="740"/>
      <c r="CD22" s="740"/>
      <c r="CE22" s="740"/>
      <c r="CF22" s="740"/>
      <c r="CG22" s="740"/>
      <c r="CH22" s="740"/>
      <c r="CI22" s="740"/>
      <c r="CJ22" s="740"/>
      <c r="CK22" s="740"/>
      <c r="CL22" s="740"/>
      <c r="CM22" s="740"/>
      <c r="CN22" s="740"/>
      <c r="CO22" s="740"/>
      <c r="CP22" s="740"/>
      <c r="CQ22" s="740"/>
      <c r="CR22" s="740"/>
      <c r="CS22" s="740"/>
      <c r="CT22" s="740"/>
      <c r="CU22" s="740"/>
      <c r="CV22" s="740"/>
      <c r="CW22" s="740"/>
      <c r="CX22" s="740"/>
      <c r="CY22" s="740"/>
      <c r="CZ22" s="740"/>
      <c r="DA22" s="740"/>
      <c r="DB22" s="740"/>
      <c r="DC22" s="740"/>
      <c r="DD22" s="740"/>
      <c r="DE22" s="740"/>
      <c r="DF22" s="740"/>
      <c r="DG22" s="740"/>
      <c r="DH22" s="740"/>
      <c r="DI22" s="740"/>
      <c r="DJ22" s="740"/>
      <c r="DK22" s="740"/>
      <c r="DL22" s="740"/>
      <c r="DM22" s="740"/>
      <c r="DN22" s="740"/>
      <c r="DO22" s="740"/>
      <c r="DP22" s="740"/>
      <c r="DQ22" s="740"/>
      <c r="DR22" s="740"/>
      <c r="DS22" s="740"/>
      <c r="DT22" s="740"/>
      <c r="DU22" s="740"/>
      <c r="DV22" s="740"/>
      <c r="DW22" s="740"/>
      <c r="DX22" s="740"/>
      <c r="DY22" s="740"/>
      <c r="DZ22" s="740"/>
      <c r="EA22" s="740"/>
      <c r="EB22" s="740"/>
      <c r="EC22" s="740"/>
      <c r="ED22" s="740"/>
      <c r="EE22" s="740"/>
      <c r="EF22" s="740"/>
      <c r="EG22" s="740"/>
      <c r="EH22" s="740"/>
      <c r="EI22" s="740"/>
      <c r="EJ22" s="740"/>
      <c r="EK22" s="740"/>
      <c r="EL22" s="740"/>
      <c r="EM22" s="740"/>
      <c r="EN22" s="740"/>
      <c r="EO22" s="740"/>
      <c r="EP22" s="740"/>
      <c r="EQ22" s="740"/>
      <c r="ER22" s="740"/>
      <c r="ES22" s="740"/>
      <c r="ET22" s="740"/>
      <c r="EU22" s="740"/>
      <c r="EV22" s="740"/>
      <c r="EW22" s="740"/>
      <c r="EX22" s="740"/>
      <c r="EY22" s="740"/>
      <c r="EZ22" s="740"/>
      <c r="FA22" s="740"/>
      <c r="FB22" s="740"/>
      <c r="FC22" s="740"/>
      <c r="FD22" s="740"/>
      <c r="FE22" s="740"/>
      <c r="FF22" s="740"/>
      <c r="FG22" s="740"/>
      <c r="FH22" s="740"/>
      <c r="FI22" s="740"/>
      <c r="FJ22" s="740"/>
      <c r="FK22" s="740"/>
      <c r="FL22" s="740"/>
      <c r="FM22" s="740"/>
      <c r="FN22" s="740"/>
      <c r="FO22" s="740"/>
      <c r="FP22" s="740"/>
      <c r="FQ22" s="740"/>
      <c r="FR22" s="740"/>
      <c r="FS22" s="740"/>
      <c r="FT22" s="740"/>
      <c r="FU22" s="740"/>
      <c r="FV22" s="740"/>
      <c r="FW22" s="740"/>
      <c r="FX22" s="740"/>
      <c r="FY22" s="740"/>
      <c r="FZ22" s="740"/>
      <c r="GA22" s="740"/>
      <c r="GB22" s="740"/>
      <c r="GC22" s="740"/>
      <c r="GD22" s="740"/>
      <c r="GE22" s="740"/>
      <c r="GF22" s="740"/>
      <c r="GG22" s="740"/>
      <c r="GH22" s="740"/>
      <c r="GI22" s="740"/>
      <c r="GJ22" s="740"/>
      <c r="GK22" s="740"/>
      <c r="GL22" s="740"/>
      <c r="GM22" s="740"/>
      <c r="GN22" s="740"/>
      <c r="GO22" s="740"/>
      <c r="GP22" s="740"/>
      <c r="GQ22" s="740"/>
      <c r="GR22" s="740"/>
      <c r="GS22" s="740"/>
      <c r="GT22" s="740"/>
      <c r="GU22" s="740"/>
      <c r="GV22" s="740"/>
      <c r="GW22" s="740"/>
    </row>
    <row r="23" spans="1:205" ht="19.149999999999999" customHeight="1" x14ac:dyDescent="0.25">
      <c r="A23" s="2503"/>
      <c r="C23" s="2311"/>
      <c r="D23" s="2312">
        <v>2</v>
      </c>
      <c r="E23" s="2313" t="str">
        <f>IF(OR(D23&gt;9,D23=0),0,INDEX(Preise!$C$45:$N$54,D23,2))</f>
        <v>Eigene Mischung</v>
      </c>
      <c r="F23" s="2279"/>
      <c r="G23" s="2314"/>
      <c r="H23" s="2304">
        <f>IF(OR(D23&gt;9,D23=0),0,INDEX(Preise!$C$45:$N$54,D23,12))</f>
        <v>29.565000000000001</v>
      </c>
      <c r="I23" s="444"/>
      <c r="J23" s="2279"/>
      <c r="K23" s="2278"/>
      <c r="L23" s="2306">
        <v>4</v>
      </c>
      <c r="M23" s="2307">
        <f>L23*H23</f>
        <v>118.26</v>
      </c>
      <c r="N23" s="2308">
        <v>6</v>
      </c>
      <c r="O23" s="2309">
        <f>N23*H23</f>
        <v>177.39000000000001</v>
      </c>
      <c r="P23" s="2308">
        <v>8</v>
      </c>
      <c r="Q23" s="2310">
        <f>P23*H23</f>
        <v>236.52</v>
      </c>
      <c r="R23" s="2503"/>
      <c r="T23" s="740"/>
      <c r="U23" s="740"/>
      <c r="V23" s="740"/>
      <c r="W23" s="740"/>
      <c r="X23" s="740"/>
      <c r="Y23" s="740"/>
      <c r="Z23" s="740"/>
      <c r="AA23" s="740"/>
      <c r="AB23" s="740"/>
      <c r="AC23" s="740"/>
      <c r="AD23" s="740"/>
      <c r="AE23" s="740"/>
      <c r="AM23" s="740"/>
      <c r="AN23" s="740"/>
      <c r="AO23" s="740"/>
      <c r="AP23" s="740"/>
      <c r="AQ23" s="740"/>
      <c r="BJ23" s="740"/>
      <c r="BK23" s="740"/>
      <c r="BL23" s="740"/>
      <c r="BM23" s="740"/>
      <c r="BN23" s="740"/>
      <c r="BO23" s="740"/>
      <c r="BP23" s="740"/>
      <c r="BQ23" s="740"/>
      <c r="BR23" s="740"/>
      <c r="BS23" s="740"/>
      <c r="BT23" s="740"/>
      <c r="BU23" s="740"/>
      <c r="BV23" s="740"/>
      <c r="BW23" s="740"/>
      <c r="BX23" s="740"/>
      <c r="BY23" s="740"/>
      <c r="BZ23" s="740"/>
      <c r="CA23" s="740"/>
      <c r="CB23" s="740"/>
      <c r="CC23" s="740"/>
      <c r="CD23" s="740"/>
      <c r="CE23" s="740"/>
      <c r="CF23" s="740"/>
      <c r="CG23" s="740"/>
      <c r="CH23" s="740"/>
      <c r="CI23" s="740"/>
      <c r="CJ23" s="740"/>
      <c r="CK23" s="740"/>
      <c r="CL23" s="740"/>
      <c r="CM23" s="740"/>
      <c r="CN23" s="740"/>
      <c r="CO23" s="740"/>
      <c r="CP23" s="740"/>
      <c r="CQ23" s="740"/>
      <c r="CR23" s="740"/>
      <c r="CS23" s="740"/>
      <c r="CT23" s="740"/>
      <c r="CU23" s="740"/>
      <c r="CV23" s="740"/>
      <c r="CW23" s="740"/>
      <c r="CX23" s="740"/>
      <c r="CY23" s="740"/>
      <c r="CZ23" s="740"/>
      <c r="DA23" s="740"/>
      <c r="DB23" s="740"/>
      <c r="DC23" s="740"/>
      <c r="DD23" s="740"/>
      <c r="DE23" s="740"/>
      <c r="DF23" s="740"/>
      <c r="DG23" s="740"/>
      <c r="DH23" s="740"/>
      <c r="DI23" s="740"/>
      <c r="DJ23" s="740"/>
      <c r="DK23" s="740"/>
      <c r="DL23" s="740"/>
      <c r="DM23" s="740"/>
      <c r="DN23" s="740"/>
      <c r="DO23" s="740"/>
      <c r="DP23" s="740"/>
      <c r="DQ23" s="740"/>
      <c r="DR23" s="740"/>
      <c r="DS23" s="740"/>
      <c r="DT23" s="740"/>
      <c r="DU23" s="740"/>
      <c r="DV23" s="740"/>
      <c r="DW23" s="740"/>
      <c r="DX23" s="740"/>
      <c r="DY23" s="740"/>
      <c r="DZ23" s="740"/>
      <c r="EA23" s="740"/>
      <c r="EB23" s="740"/>
      <c r="EC23" s="740"/>
      <c r="ED23" s="740"/>
      <c r="EE23" s="740"/>
      <c r="EF23" s="740"/>
      <c r="EG23" s="740"/>
      <c r="EH23" s="740"/>
      <c r="EI23" s="740"/>
      <c r="EJ23" s="740"/>
      <c r="EK23" s="740"/>
      <c r="EL23" s="740"/>
      <c r="EM23" s="740"/>
      <c r="EN23" s="740"/>
      <c r="EO23" s="740"/>
      <c r="EP23" s="740"/>
      <c r="EQ23" s="740"/>
      <c r="ER23" s="740"/>
      <c r="ES23" s="740"/>
      <c r="ET23" s="740"/>
      <c r="EU23" s="740"/>
      <c r="EV23" s="740"/>
      <c r="EW23" s="740"/>
      <c r="EX23" s="740"/>
      <c r="EY23" s="740"/>
      <c r="EZ23" s="740"/>
      <c r="FA23" s="740"/>
      <c r="FB23" s="740"/>
      <c r="FC23" s="740"/>
      <c r="FD23" s="740"/>
      <c r="FE23" s="740"/>
      <c r="FF23" s="740"/>
      <c r="FG23" s="740"/>
      <c r="FH23" s="740"/>
      <c r="FI23" s="740"/>
      <c r="FJ23" s="740"/>
      <c r="FK23" s="740"/>
      <c r="FL23" s="740"/>
      <c r="FM23" s="740"/>
      <c r="FN23" s="740"/>
      <c r="FO23" s="740"/>
      <c r="FP23" s="740"/>
      <c r="FQ23" s="740"/>
      <c r="FR23" s="740"/>
      <c r="FS23" s="740"/>
      <c r="FT23" s="740"/>
      <c r="FU23" s="740"/>
      <c r="FV23" s="740"/>
      <c r="FW23" s="740"/>
      <c r="FX23" s="740"/>
      <c r="FY23" s="740"/>
      <c r="FZ23" s="740"/>
      <c r="GA23" s="740"/>
      <c r="GB23" s="740"/>
      <c r="GC23" s="740"/>
      <c r="GD23" s="740"/>
      <c r="GE23" s="740"/>
      <c r="GF23" s="740"/>
      <c r="GG23" s="740"/>
      <c r="GH23" s="740"/>
      <c r="GI23" s="740"/>
      <c r="GJ23" s="740"/>
      <c r="GK23" s="740"/>
      <c r="GL23" s="740"/>
      <c r="GM23" s="740"/>
      <c r="GN23" s="740"/>
      <c r="GO23" s="740"/>
      <c r="GP23" s="740"/>
      <c r="GQ23" s="740"/>
      <c r="GR23" s="740"/>
      <c r="GS23" s="740"/>
      <c r="GT23" s="740"/>
      <c r="GU23" s="740"/>
      <c r="GV23" s="740"/>
      <c r="GW23" s="740"/>
    </row>
    <row r="24" spans="1:205" ht="19.149999999999999" customHeight="1" x14ac:dyDescent="0.25">
      <c r="A24" s="2503"/>
      <c r="C24" s="2315"/>
      <c r="D24" s="2316">
        <v>4</v>
      </c>
      <c r="E24" s="2317" t="str">
        <f>IF(OR(D24&gt;9,D24=0),0,INDEX(Preise!$C$45:$N$54,D24,2))</f>
        <v>Mineralfutter Rinder</v>
      </c>
      <c r="F24" s="2318"/>
      <c r="G24" s="2319"/>
      <c r="H24" s="2320">
        <f>IF(OR(D24&gt;9,D24=0),0,INDEX(Preise!$C$45:$N$54,D24,12))</f>
        <v>69.55</v>
      </c>
      <c r="I24" s="444"/>
      <c r="J24" s="2279"/>
      <c r="K24" s="2321"/>
      <c r="L24" s="2306">
        <v>0.4</v>
      </c>
      <c r="M24" s="2322">
        <f>L24*$H24</f>
        <v>27.82</v>
      </c>
      <c r="N24" s="2308">
        <v>0.35</v>
      </c>
      <c r="O24" s="2323">
        <f>N24*$H24</f>
        <v>24.342499999999998</v>
      </c>
      <c r="P24" s="2308">
        <v>0.3</v>
      </c>
      <c r="Q24" s="2324">
        <f>P24*$H24</f>
        <v>20.864999999999998</v>
      </c>
      <c r="R24" s="2503"/>
      <c r="T24" s="740"/>
      <c r="U24" s="740"/>
      <c r="V24" s="740"/>
      <c r="W24" s="740"/>
      <c r="X24" s="740"/>
      <c r="Y24" s="740"/>
      <c r="Z24" s="740"/>
      <c r="AA24" s="740"/>
      <c r="AB24" s="740"/>
      <c r="AC24" s="740"/>
      <c r="AD24" s="740"/>
      <c r="AE24" s="740"/>
      <c r="AM24" s="740"/>
      <c r="AN24" s="740"/>
      <c r="AO24" s="740"/>
      <c r="AP24" s="740"/>
      <c r="AQ24" s="3981" t="s">
        <v>406</v>
      </c>
      <c r="AR24" s="3982"/>
      <c r="AS24" s="3982"/>
      <c r="AT24" s="3982"/>
      <c r="AU24" s="3982"/>
      <c r="AV24" s="3982"/>
      <c r="AW24" s="3982"/>
      <c r="AX24" s="3982"/>
      <c r="AY24" s="3982"/>
      <c r="AZ24" s="3982"/>
      <c r="BA24" s="3982"/>
      <c r="BB24" s="3982"/>
      <c r="BC24" s="3982"/>
      <c r="BD24" s="3982"/>
      <c r="BE24" s="3982"/>
      <c r="BF24" s="3982"/>
      <c r="BG24" s="3982"/>
      <c r="BH24" s="3983"/>
      <c r="BJ24" s="740"/>
      <c r="BK24" s="740"/>
      <c r="BL24" s="740"/>
      <c r="BM24" s="740"/>
      <c r="BN24" s="740"/>
      <c r="BO24" s="740"/>
      <c r="BP24" s="740"/>
      <c r="BQ24" s="740"/>
      <c r="BR24" s="740"/>
      <c r="BS24" s="740"/>
      <c r="BT24" s="740"/>
      <c r="BU24" s="740"/>
      <c r="BV24" s="740"/>
      <c r="BW24" s="740"/>
      <c r="BX24" s="740"/>
      <c r="BY24" s="740"/>
      <c r="BZ24" s="740"/>
      <c r="CA24" s="740"/>
      <c r="CB24" s="740"/>
      <c r="CC24" s="740"/>
      <c r="CD24" s="740"/>
      <c r="CE24" s="740"/>
      <c r="CF24" s="740"/>
      <c r="CG24" s="740"/>
      <c r="CH24" s="740"/>
      <c r="CI24" s="740"/>
      <c r="CJ24" s="740"/>
      <c r="CK24" s="740"/>
      <c r="CL24" s="740"/>
      <c r="CM24" s="740"/>
      <c r="CN24" s="740"/>
      <c r="CO24" s="740"/>
      <c r="CP24" s="740"/>
      <c r="CQ24" s="740"/>
      <c r="CR24" s="740"/>
      <c r="CS24" s="740"/>
      <c r="CT24" s="740"/>
      <c r="CU24" s="740"/>
      <c r="CV24" s="740"/>
      <c r="CW24" s="740"/>
      <c r="CX24" s="740"/>
      <c r="CY24" s="740"/>
      <c r="CZ24" s="740"/>
      <c r="DA24" s="740"/>
      <c r="DB24" s="740"/>
      <c r="DC24" s="740"/>
      <c r="DD24" s="740"/>
      <c r="DE24" s="740"/>
      <c r="DF24" s="740"/>
      <c r="DG24" s="740"/>
      <c r="DH24" s="740"/>
      <c r="DI24" s="740"/>
      <c r="DJ24" s="740"/>
      <c r="DK24" s="740"/>
      <c r="DL24" s="740"/>
      <c r="DM24" s="740"/>
      <c r="DN24" s="740"/>
      <c r="DO24" s="740"/>
      <c r="DP24" s="740"/>
      <c r="DQ24" s="740"/>
      <c r="DR24" s="740"/>
      <c r="DS24" s="740"/>
      <c r="DT24" s="740"/>
      <c r="DU24" s="740"/>
      <c r="DV24" s="740"/>
      <c r="DW24" s="740"/>
      <c r="DX24" s="740"/>
      <c r="DY24" s="740"/>
      <c r="DZ24" s="740"/>
      <c r="EA24" s="740"/>
      <c r="EB24" s="740"/>
      <c r="EC24" s="740"/>
      <c r="ED24" s="740"/>
      <c r="EE24" s="740"/>
      <c r="EF24" s="740"/>
      <c r="EG24" s="740"/>
      <c r="EH24" s="740"/>
      <c r="EI24" s="740"/>
      <c r="EJ24" s="740"/>
      <c r="EK24" s="740"/>
      <c r="EL24" s="740"/>
      <c r="EM24" s="740"/>
      <c r="EN24" s="740"/>
      <c r="EO24" s="740"/>
      <c r="EP24" s="740"/>
      <c r="EQ24" s="740"/>
      <c r="ER24" s="740"/>
      <c r="ES24" s="740"/>
      <c r="ET24" s="740"/>
      <c r="EU24" s="740"/>
      <c r="EV24" s="740"/>
      <c r="EW24" s="740"/>
      <c r="EX24" s="740"/>
      <c r="EY24" s="740"/>
      <c r="EZ24" s="740"/>
      <c r="FA24" s="740"/>
      <c r="FB24" s="740"/>
      <c r="FC24" s="740"/>
      <c r="FD24" s="740"/>
      <c r="FE24" s="740"/>
      <c r="FF24" s="740"/>
      <c r="FG24" s="740"/>
      <c r="FH24" s="740"/>
      <c r="FI24" s="740"/>
      <c r="FJ24" s="740"/>
      <c r="FK24" s="740"/>
      <c r="FL24" s="740"/>
      <c r="FM24" s="740"/>
      <c r="FN24" s="740"/>
      <c r="FO24" s="740"/>
      <c r="FP24" s="740"/>
      <c r="FQ24" s="740"/>
      <c r="FR24" s="740"/>
      <c r="FS24" s="740"/>
      <c r="FT24" s="740"/>
      <c r="FU24" s="740"/>
      <c r="FV24" s="740"/>
      <c r="FW24" s="740"/>
      <c r="FX24" s="740"/>
      <c r="FY24" s="740"/>
      <c r="FZ24" s="740"/>
      <c r="GA24" s="740"/>
      <c r="GB24" s="740"/>
      <c r="GC24" s="740"/>
      <c r="GD24" s="740"/>
      <c r="GE24" s="740"/>
      <c r="GF24" s="740"/>
      <c r="GG24" s="740"/>
      <c r="GH24" s="740"/>
      <c r="GI24" s="740"/>
      <c r="GJ24" s="740"/>
      <c r="GK24" s="740"/>
      <c r="GL24" s="740"/>
      <c r="GM24" s="740"/>
      <c r="GN24" s="740"/>
      <c r="GO24" s="740"/>
      <c r="GP24" s="740"/>
      <c r="GQ24" s="740"/>
      <c r="GR24" s="740"/>
      <c r="GS24" s="740"/>
      <c r="GT24" s="740"/>
      <c r="GU24" s="740"/>
      <c r="GV24" s="740"/>
      <c r="GW24" s="740"/>
    </row>
    <row r="25" spans="1:205" s="758" customFormat="1" ht="24.6" customHeight="1" thickBot="1" x14ac:dyDescent="0.25">
      <c r="A25" s="2503"/>
      <c r="B25" s="739"/>
      <c r="C25" s="1489"/>
      <c r="D25" s="808" t="s">
        <v>491</v>
      </c>
      <c r="E25" s="73"/>
      <c r="F25" s="763"/>
      <c r="G25" s="507"/>
      <c r="H25" s="507"/>
      <c r="I25" s="115"/>
      <c r="J25" s="115"/>
      <c r="K25" s="1368" t="s">
        <v>61</v>
      </c>
      <c r="L25" s="2491">
        <f>SUM(L26:L34)</f>
        <v>344.28602476190474</v>
      </c>
      <c r="M25" s="2345">
        <f>L25+L25*Stammdaten!$P$11</f>
        <v>385.60034773333331</v>
      </c>
      <c r="N25" s="2492">
        <f>SUM(N26:N34)</f>
        <v>350.32686572647759</v>
      </c>
      <c r="O25" s="2347">
        <f>N25+N25*Stammdaten!$P$11</f>
        <v>392.36608961365488</v>
      </c>
      <c r="P25" s="2493">
        <f>SUM(P26:P34)</f>
        <v>331.57751739314426</v>
      </c>
      <c r="Q25" s="2349">
        <f>P25+P25*Stammdaten!$P$11</f>
        <v>371.36681948032157</v>
      </c>
      <c r="R25" s="2503"/>
      <c r="T25" s="740"/>
      <c r="U25" s="740"/>
      <c r="V25" s="740"/>
      <c r="W25" s="740"/>
      <c r="X25" s="740"/>
      <c r="Y25" s="740"/>
      <c r="Z25" s="740"/>
      <c r="AA25" s="740"/>
      <c r="AB25" s="740"/>
      <c r="AC25" s="740"/>
      <c r="AD25" s="740"/>
      <c r="AE25" s="740"/>
      <c r="AF25" s="740"/>
      <c r="AG25" s="740"/>
      <c r="AH25" s="740"/>
      <c r="AI25" s="740"/>
      <c r="AJ25" s="740"/>
      <c r="AK25" s="740"/>
      <c r="AL25" s="740"/>
      <c r="AM25" s="740"/>
      <c r="AN25" s="740"/>
      <c r="AO25" s="740"/>
      <c r="AP25" s="740"/>
      <c r="AQ25" s="3984" t="s">
        <v>433</v>
      </c>
      <c r="AR25" s="3984"/>
      <c r="AS25" s="759"/>
      <c r="AT25" s="759"/>
      <c r="AU25" s="759"/>
      <c r="AV25" s="759"/>
      <c r="AW25" s="759"/>
      <c r="AX25" s="759"/>
      <c r="AY25" s="759"/>
      <c r="AZ25" s="759"/>
      <c r="BA25" s="759"/>
      <c r="BB25" s="759"/>
      <c r="BC25" s="759"/>
      <c r="BD25" s="759"/>
      <c r="BE25" s="759"/>
      <c r="BF25" s="759"/>
      <c r="BG25" s="759"/>
      <c r="BH25" s="759"/>
      <c r="BJ25" s="740"/>
      <c r="BK25" s="740"/>
      <c r="BL25" s="740"/>
      <c r="BM25" s="740"/>
      <c r="BN25" s="740"/>
      <c r="BO25" s="740"/>
      <c r="BP25" s="740"/>
      <c r="BQ25" s="740"/>
      <c r="BR25" s="740"/>
      <c r="BS25" s="740"/>
      <c r="BT25" s="740"/>
      <c r="BU25" s="740"/>
      <c r="BV25" s="740"/>
      <c r="BW25" s="740"/>
      <c r="BX25" s="740"/>
      <c r="BY25" s="740"/>
      <c r="BZ25" s="740"/>
      <c r="CA25" s="740"/>
      <c r="CB25" s="740"/>
      <c r="CC25" s="740"/>
      <c r="CD25" s="740"/>
      <c r="CE25" s="740"/>
      <c r="CF25" s="740"/>
      <c r="CG25" s="740"/>
      <c r="CH25" s="740"/>
      <c r="CI25" s="740"/>
      <c r="CJ25" s="740"/>
      <c r="CK25" s="740"/>
      <c r="CL25" s="740"/>
      <c r="CM25" s="740"/>
      <c r="CN25" s="740"/>
      <c r="CO25" s="740"/>
      <c r="CP25" s="740"/>
      <c r="CQ25" s="740"/>
      <c r="CR25" s="740"/>
      <c r="CS25" s="740"/>
      <c r="CT25" s="740"/>
      <c r="CU25" s="740"/>
      <c r="CV25" s="740"/>
      <c r="CW25" s="740"/>
      <c r="CX25" s="740"/>
      <c r="CY25" s="740"/>
      <c r="CZ25" s="740"/>
      <c r="DA25" s="740"/>
      <c r="DB25" s="740"/>
      <c r="DC25" s="740"/>
      <c r="DD25" s="740"/>
      <c r="DE25" s="740"/>
      <c r="DF25" s="740"/>
      <c r="DG25" s="740"/>
      <c r="DH25" s="740"/>
      <c r="DI25" s="740"/>
      <c r="DJ25" s="740"/>
      <c r="DK25" s="740"/>
      <c r="DL25" s="740"/>
      <c r="DM25" s="740"/>
      <c r="DN25" s="740"/>
      <c r="DO25" s="740"/>
      <c r="DP25" s="740"/>
      <c r="DQ25" s="740"/>
      <c r="DR25" s="740"/>
      <c r="DS25" s="740"/>
      <c r="DT25" s="740"/>
      <c r="DU25" s="740"/>
      <c r="DV25" s="740"/>
      <c r="DW25" s="740"/>
      <c r="DX25" s="740"/>
      <c r="DY25" s="740"/>
      <c r="DZ25" s="740"/>
      <c r="EA25" s="740"/>
      <c r="EB25" s="740"/>
      <c r="EC25" s="740"/>
      <c r="ED25" s="740"/>
      <c r="EE25" s="740"/>
      <c r="EF25" s="740"/>
      <c r="EG25" s="740"/>
      <c r="EH25" s="740"/>
      <c r="EI25" s="740"/>
      <c r="EJ25" s="740"/>
      <c r="EK25" s="740"/>
      <c r="EL25" s="740"/>
      <c r="EM25" s="740"/>
      <c r="EN25" s="740"/>
      <c r="EO25" s="740"/>
      <c r="EP25" s="740"/>
      <c r="EQ25" s="740"/>
      <c r="ER25" s="740"/>
      <c r="ES25" s="740"/>
      <c r="ET25" s="740"/>
      <c r="EU25" s="740"/>
      <c r="EV25" s="740"/>
      <c r="EW25" s="740"/>
      <c r="EX25" s="740"/>
      <c r="EY25" s="740"/>
      <c r="EZ25" s="740"/>
      <c r="FA25" s="740"/>
      <c r="FB25" s="740"/>
      <c r="FC25" s="740"/>
      <c r="FD25" s="740"/>
      <c r="FE25" s="740"/>
      <c r="FF25" s="740"/>
      <c r="FG25" s="740"/>
      <c r="FH25" s="740"/>
      <c r="FI25" s="740"/>
      <c r="FJ25" s="740"/>
      <c r="FK25" s="740"/>
      <c r="FL25" s="740"/>
      <c r="FM25" s="740"/>
      <c r="FN25" s="740"/>
      <c r="FO25" s="740"/>
      <c r="FP25" s="740"/>
      <c r="FQ25" s="740"/>
      <c r="FR25" s="740"/>
      <c r="FS25" s="740"/>
      <c r="FT25" s="740"/>
      <c r="FU25" s="740"/>
      <c r="FV25" s="740"/>
      <c r="FW25" s="740"/>
      <c r="FX25" s="740"/>
      <c r="FY25" s="740"/>
      <c r="FZ25" s="740"/>
      <c r="GA25" s="740"/>
      <c r="GB25" s="740"/>
      <c r="GC25" s="740"/>
      <c r="GD25" s="740"/>
      <c r="GE25" s="740"/>
      <c r="GF25" s="740"/>
      <c r="GG25" s="740"/>
      <c r="GH25" s="740"/>
      <c r="GI25" s="740"/>
      <c r="GJ25" s="740"/>
      <c r="GK25" s="740"/>
      <c r="GL25" s="740"/>
      <c r="GM25" s="740"/>
      <c r="GN25" s="740"/>
      <c r="GO25" s="740"/>
      <c r="GP25" s="740"/>
      <c r="GQ25" s="740"/>
      <c r="GR25" s="740"/>
      <c r="GS25" s="740"/>
      <c r="GT25" s="740"/>
      <c r="GU25" s="740"/>
      <c r="GV25" s="740"/>
      <c r="GW25" s="740"/>
    </row>
    <row r="26" spans="1:205" ht="19.149999999999999" customHeight="1" x14ac:dyDescent="0.25">
      <c r="A26" s="2503"/>
      <c r="C26" s="1438"/>
      <c r="D26" s="757"/>
      <c r="E26" s="2325" t="s">
        <v>1162</v>
      </c>
      <c r="F26" s="2326"/>
      <c r="G26" s="2279"/>
      <c r="H26" s="2279"/>
      <c r="I26" s="444"/>
      <c r="J26" s="2279"/>
      <c r="K26" s="2288"/>
      <c r="L26" s="2327">
        <v>47</v>
      </c>
      <c r="M26" s="2328"/>
      <c r="N26" s="2329">
        <v>47</v>
      </c>
      <c r="O26" s="2330"/>
      <c r="P26" s="2329">
        <v>30</v>
      </c>
      <c r="Q26" s="2331"/>
      <c r="R26" s="2503"/>
      <c r="T26" s="740"/>
      <c r="U26" s="740"/>
      <c r="V26" s="740"/>
      <c r="W26" s="740"/>
      <c r="X26" s="740"/>
      <c r="Y26" s="740"/>
      <c r="Z26" s="740"/>
      <c r="AA26" s="740"/>
      <c r="AB26" s="740"/>
      <c r="AC26" s="740"/>
      <c r="AD26" s="740"/>
      <c r="AE26" s="740"/>
      <c r="AF26" s="828" t="s">
        <v>554</v>
      </c>
      <c r="AG26" s="829"/>
      <c r="AH26" s="830"/>
      <c r="AI26" s="765"/>
      <c r="AJ26" s="765"/>
      <c r="AK26" s="765"/>
      <c r="AL26" s="766"/>
      <c r="AM26" s="740"/>
      <c r="AN26" s="740"/>
      <c r="AO26" s="740"/>
      <c r="AP26" s="740"/>
      <c r="AX26" s="785" t="s">
        <v>407</v>
      </c>
      <c r="AY26" s="786"/>
      <c r="AZ26" s="786"/>
      <c r="BA26" s="787"/>
      <c r="BB26" s="785" t="s">
        <v>408</v>
      </c>
      <c r="BC26" s="786"/>
      <c r="BD26" s="786"/>
      <c r="BE26" s="787"/>
      <c r="BF26" s="759"/>
      <c r="BG26" s="3979" t="s">
        <v>408</v>
      </c>
      <c r="BH26" s="3980"/>
      <c r="BJ26" s="740"/>
      <c r="BK26" s="740"/>
      <c r="BL26" s="740"/>
      <c r="BM26" s="740"/>
      <c r="BN26" s="740"/>
      <c r="BO26" s="740"/>
      <c r="BP26" s="740"/>
      <c r="BQ26" s="740"/>
      <c r="BR26" s="740"/>
      <c r="BS26" s="740"/>
      <c r="BT26" s="740"/>
      <c r="BU26" s="740"/>
      <c r="BV26" s="740"/>
      <c r="BW26" s="740"/>
      <c r="BX26" s="740"/>
      <c r="BY26" s="740"/>
      <c r="BZ26" s="740"/>
      <c r="CA26" s="740"/>
      <c r="CB26" s="740"/>
      <c r="CC26" s="740"/>
      <c r="CD26" s="740"/>
      <c r="CE26" s="740"/>
      <c r="CF26" s="740"/>
      <c r="CG26" s="740"/>
      <c r="CH26" s="740"/>
      <c r="CI26" s="740"/>
      <c r="CJ26" s="740"/>
      <c r="CK26" s="740"/>
      <c r="CL26" s="740"/>
      <c r="CM26" s="740"/>
      <c r="CN26" s="740"/>
      <c r="CO26" s="740"/>
      <c r="CP26" s="740"/>
      <c r="CQ26" s="740"/>
      <c r="CR26" s="740"/>
      <c r="CS26" s="740"/>
      <c r="CT26" s="740"/>
      <c r="CU26" s="740"/>
      <c r="CV26" s="740"/>
      <c r="CW26" s="740"/>
      <c r="CX26" s="740"/>
      <c r="CY26" s="740"/>
      <c r="CZ26" s="740"/>
      <c r="DA26" s="740"/>
      <c r="DB26" s="740"/>
      <c r="DC26" s="740"/>
      <c r="DD26" s="740"/>
      <c r="DE26" s="740"/>
      <c r="DF26" s="740"/>
      <c r="DG26" s="740"/>
      <c r="DH26" s="740"/>
      <c r="DI26" s="740"/>
      <c r="DJ26" s="740"/>
      <c r="DK26" s="740"/>
      <c r="DL26" s="740"/>
      <c r="DM26" s="740"/>
      <c r="DN26" s="740"/>
      <c r="DO26" s="740"/>
      <c r="DP26" s="740"/>
      <c r="DQ26" s="740"/>
      <c r="DR26" s="740"/>
      <c r="DS26" s="740"/>
      <c r="DT26" s="740"/>
      <c r="DU26" s="740"/>
      <c r="DV26" s="740"/>
      <c r="DW26" s="740"/>
      <c r="DX26" s="740"/>
      <c r="DY26" s="740"/>
      <c r="DZ26" s="740"/>
      <c r="EA26" s="740"/>
      <c r="EB26" s="740"/>
      <c r="EC26" s="740"/>
      <c r="ED26" s="740"/>
      <c r="EE26" s="740"/>
      <c r="EF26" s="740"/>
      <c r="EG26" s="740"/>
      <c r="EH26" s="740"/>
      <c r="EI26" s="740"/>
      <c r="EJ26" s="740"/>
      <c r="EK26" s="740"/>
      <c r="EL26" s="740"/>
      <c r="EM26" s="740"/>
      <c r="EN26" s="740"/>
      <c r="EO26" s="740"/>
      <c r="EP26" s="740"/>
      <c r="EQ26" s="740"/>
      <c r="ER26" s="740"/>
      <c r="ES26" s="740"/>
      <c r="ET26" s="740"/>
      <c r="EU26" s="740"/>
      <c r="EV26" s="740"/>
      <c r="EW26" s="740"/>
      <c r="EX26" s="740"/>
      <c r="EY26" s="740"/>
      <c r="EZ26" s="740"/>
      <c r="FA26" s="740"/>
      <c r="FB26" s="740"/>
      <c r="FC26" s="740"/>
      <c r="FD26" s="740"/>
      <c r="FE26" s="740"/>
      <c r="FF26" s="740"/>
      <c r="FG26" s="740"/>
      <c r="FH26" s="740"/>
      <c r="FI26" s="740"/>
      <c r="FJ26" s="740"/>
      <c r="FK26" s="740"/>
      <c r="FL26" s="740"/>
      <c r="FM26" s="740"/>
      <c r="FN26" s="740"/>
      <c r="FO26" s="740"/>
      <c r="FP26" s="740"/>
      <c r="FQ26" s="740"/>
      <c r="FR26" s="740"/>
      <c r="FS26" s="740"/>
      <c r="FT26" s="740"/>
      <c r="FU26" s="740"/>
      <c r="FV26" s="740"/>
      <c r="FW26" s="740"/>
      <c r="FX26" s="740"/>
      <c r="FY26" s="740"/>
      <c r="FZ26" s="740"/>
      <c r="GA26" s="740"/>
      <c r="GB26" s="740"/>
      <c r="GC26" s="740"/>
      <c r="GD26" s="740"/>
      <c r="GE26" s="740"/>
      <c r="GF26" s="740"/>
      <c r="GG26" s="740"/>
      <c r="GH26" s="740"/>
      <c r="GI26" s="740"/>
      <c r="GJ26" s="740"/>
      <c r="GK26" s="740"/>
      <c r="GL26" s="740"/>
      <c r="GM26" s="740"/>
      <c r="GN26" s="740"/>
      <c r="GO26" s="740"/>
      <c r="GP26" s="740"/>
      <c r="GQ26" s="740"/>
      <c r="GR26" s="740"/>
      <c r="GS26" s="740"/>
      <c r="GT26" s="740"/>
      <c r="GU26" s="740"/>
      <c r="GV26" s="740"/>
      <c r="GW26" s="740"/>
    </row>
    <row r="27" spans="1:205" ht="19.149999999999999" customHeight="1" x14ac:dyDescent="0.25">
      <c r="A27" s="2503"/>
      <c r="C27" s="1438"/>
      <c r="D27" s="757"/>
      <c r="E27" s="86" t="s">
        <v>492</v>
      </c>
      <c r="F27" s="2326"/>
      <c r="G27" s="2279"/>
      <c r="H27" s="2332"/>
      <c r="I27" s="444"/>
      <c r="J27" s="2279"/>
      <c r="K27" s="2278"/>
      <c r="L27" s="2327">
        <v>16</v>
      </c>
      <c r="M27" s="2328"/>
      <c r="N27" s="2329">
        <v>25.564594059810926</v>
      </c>
      <c r="O27" s="2330"/>
      <c r="P27" s="2329">
        <v>25.564594059810926</v>
      </c>
      <c r="Q27" s="2331"/>
      <c r="R27" s="2503"/>
      <c r="T27" s="740"/>
      <c r="U27" s="740"/>
      <c r="V27" s="740"/>
      <c r="W27" s="740"/>
      <c r="X27" s="740"/>
      <c r="Y27" s="740"/>
      <c r="Z27" s="740"/>
      <c r="AA27" s="740"/>
      <c r="AB27" s="740"/>
      <c r="AC27" s="740"/>
      <c r="AD27" s="740"/>
      <c r="AE27" s="740"/>
      <c r="AF27" s="736" t="s">
        <v>405</v>
      </c>
      <c r="AG27" s="768"/>
      <c r="AH27" s="768"/>
      <c r="AI27" s="768"/>
      <c r="AJ27" s="768"/>
      <c r="AK27" s="768"/>
      <c r="AL27" s="769"/>
      <c r="AX27" s="1299" t="s">
        <v>410</v>
      </c>
      <c r="AY27" s="1313"/>
      <c r="AZ27" s="708" t="s">
        <v>411</v>
      </c>
      <c r="BA27" s="709"/>
      <c r="BB27" s="1299" t="s">
        <v>410</v>
      </c>
      <c r="BC27" s="1300"/>
      <c r="BD27" s="723" t="s">
        <v>411</v>
      </c>
      <c r="BE27" s="939"/>
      <c r="BF27" s="759"/>
      <c r="BG27" s="788" t="s">
        <v>412</v>
      </c>
      <c r="BH27" s="707"/>
      <c r="BI27" s="500"/>
      <c r="BJ27" s="740"/>
      <c r="BK27" s="740"/>
      <c r="BL27" s="740"/>
      <c r="BM27" s="740"/>
      <c r="BN27" s="740"/>
      <c r="BO27" s="740"/>
      <c r="BP27" s="740"/>
      <c r="BQ27" s="740"/>
      <c r="BR27" s="740"/>
      <c r="BS27" s="740"/>
      <c r="BT27" s="740"/>
      <c r="BU27" s="740"/>
      <c r="BV27" s="740"/>
      <c r="BW27" s="740"/>
      <c r="BX27" s="740"/>
      <c r="BY27" s="740"/>
      <c r="BZ27" s="740"/>
      <c r="CA27" s="740"/>
      <c r="CB27" s="740"/>
      <c r="CC27" s="740"/>
      <c r="CD27" s="740"/>
      <c r="CE27" s="740"/>
      <c r="CF27" s="740"/>
      <c r="CG27" s="740"/>
      <c r="CH27" s="740"/>
      <c r="CI27" s="740"/>
      <c r="CJ27" s="740"/>
      <c r="CK27" s="740"/>
      <c r="CL27" s="740"/>
      <c r="CM27" s="740"/>
      <c r="CN27" s="740"/>
      <c r="CO27" s="740"/>
      <c r="CP27" s="740"/>
      <c r="CQ27" s="740"/>
      <c r="CR27" s="740"/>
      <c r="CS27" s="740"/>
      <c r="CT27" s="740"/>
      <c r="CU27" s="740"/>
      <c r="CV27" s="740"/>
      <c r="CW27" s="740"/>
      <c r="CX27" s="740"/>
      <c r="CY27" s="740"/>
      <c r="CZ27" s="740"/>
      <c r="DA27" s="740"/>
      <c r="DB27" s="740"/>
      <c r="DC27" s="740"/>
      <c r="DD27" s="740"/>
      <c r="DE27" s="740"/>
      <c r="DF27" s="740"/>
      <c r="DG27" s="740"/>
      <c r="DH27" s="740"/>
      <c r="DI27" s="740"/>
      <c r="DJ27" s="740"/>
      <c r="DK27" s="740"/>
      <c r="DL27" s="740"/>
      <c r="DM27" s="740"/>
      <c r="DN27" s="740"/>
      <c r="DO27" s="740"/>
      <c r="DP27" s="740"/>
      <c r="DQ27" s="740"/>
      <c r="DR27" s="740"/>
      <c r="DS27" s="740"/>
      <c r="DT27" s="740"/>
      <c r="DU27" s="740"/>
      <c r="DV27" s="740"/>
      <c r="DW27" s="740"/>
      <c r="DX27" s="740"/>
      <c r="DY27" s="740"/>
      <c r="DZ27" s="740"/>
      <c r="EA27" s="740"/>
      <c r="EB27" s="740"/>
      <c r="EC27" s="740"/>
      <c r="ED27" s="740"/>
      <c r="EE27" s="740"/>
      <c r="EF27" s="740"/>
      <c r="EG27" s="740"/>
      <c r="EH27" s="740"/>
      <c r="EI27" s="740"/>
      <c r="EJ27" s="740"/>
      <c r="EK27" s="740"/>
      <c r="EL27" s="740"/>
      <c r="EM27" s="740"/>
      <c r="EN27" s="740"/>
      <c r="EO27" s="740"/>
      <c r="EP27" s="740"/>
      <c r="EQ27" s="740"/>
      <c r="ER27" s="740"/>
      <c r="ES27" s="740"/>
      <c r="ET27" s="740"/>
      <c r="EU27" s="740"/>
      <c r="EV27" s="740"/>
      <c r="EW27" s="740"/>
      <c r="EX27" s="740"/>
      <c r="EY27" s="740"/>
      <c r="EZ27" s="740"/>
      <c r="FA27" s="740"/>
      <c r="FB27" s="740"/>
      <c r="FC27" s="740"/>
      <c r="FD27" s="740"/>
      <c r="FE27" s="740"/>
      <c r="FF27" s="740"/>
      <c r="FG27" s="740"/>
      <c r="FH27" s="740"/>
      <c r="FI27" s="740"/>
      <c r="FJ27" s="740"/>
      <c r="FK27" s="740"/>
      <c r="FL27" s="740"/>
      <c r="FM27" s="740"/>
      <c r="FN27" s="740"/>
      <c r="FO27" s="740"/>
      <c r="FP27" s="740"/>
      <c r="FQ27" s="740"/>
      <c r="FR27" s="740"/>
      <c r="FS27" s="740"/>
      <c r="FT27" s="740"/>
      <c r="FU27" s="740"/>
      <c r="FV27" s="740"/>
      <c r="FW27" s="740"/>
      <c r="FX27" s="740"/>
      <c r="FY27" s="740"/>
      <c r="FZ27" s="740"/>
      <c r="GA27" s="740"/>
      <c r="GB27" s="740"/>
      <c r="GC27" s="740"/>
      <c r="GD27" s="740"/>
      <c r="GE27" s="740"/>
      <c r="GF27" s="740"/>
      <c r="GG27" s="740"/>
      <c r="GH27" s="740"/>
      <c r="GI27" s="740"/>
      <c r="GJ27" s="740"/>
      <c r="GK27" s="740"/>
      <c r="GL27" s="740"/>
      <c r="GM27" s="740"/>
      <c r="GN27" s="740"/>
      <c r="GO27" s="740"/>
      <c r="GP27" s="740"/>
      <c r="GQ27" s="740"/>
      <c r="GR27" s="740"/>
      <c r="GS27" s="740"/>
      <c r="GT27" s="740"/>
      <c r="GU27" s="740"/>
      <c r="GV27" s="740"/>
      <c r="GW27" s="740"/>
    </row>
    <row r="28" spans="1:205" ht="19.149999999999999" customHeight="1" x14ac:dyDescent="0.45">
      <c r="A28" s="2503"/>
      <c r="C28" s="1438"/>
      <c r="D28" s="757"/>
      <c r="E28" s="86" t="s">
        <v>1081</v>
      </c>
      <c r="F28" s="2326"/>
      <c r="G28" s="2332"/>
      <c r="H28" s="2825">
        <v>4</v>
      </c>
      <c r="I28" s="2223" t="s">
        <v>586</v>
      </c>
      <c r="J28" s="2223"/>
      <c r="K28" s="2278"/>
      <c r="L28" s="2627">
        <f>(L176*Preise!$N$55)/(1+Stammdaten!$P$11)</f>
        <v>47.000310476190471</v>
      </c>
      <c r="M28" s="2328"/>
      <c r="N28" s="2628">
        <f>(N176*Preise!$N$55)/(1+Stammdaten!$P$11)</f>
        <v>41.563462142857141</v>
      </c>
      <c r="O28" s="2330"/>
      <c r="P28" s="2628">
        <f>(P176*Preise!$N$55)/(1+Stammdaten!$P$11)</f>
        <v>38.865304285714274</v>
      </c>
      <c r="Q28" s="2331"/>
      <c r="R28" s="2503"/>
      <c r="T28" s="740"/>
      <c r="U28" s="740"/>
      <c r="V28" s="740"/>
      <c r="W28" s="740"/>
      <c r="X28" s="740" t="s">
        <v>251</v>
      </c>
      <c r="Y28" s="740"/>
      <c r="AA28" s="740"/>
      <c r="AB28" s="740"/>
      <c r="AC28" s="740"/>
      <c r="AD28" s="740"/>
      <c r="AE28" s="740"/>
      <c r="AF28" s="468"/>
      <c r="AG28" s="189"/>
      <c r="AH28" s="189"/>
      <c r="AI28" s="153"/>
      <c r="AJ28" s="770"/>
      <c r="AK28" s="153"/>
      <c r="AL28" s="770"/>
      <c r="AX28" s="1303"/>
      <c r="AY28" s="1302"/>
      <c r="AZ28" s="789"/>
      <c r="BA28" s="792"/>
      <c r="BB28" s="1301" t="s">
        <v>710</v>
      </c>
      <c r="BC28" s="1302"/>
      <c r="BD28" s="1291" t="s">
        <v>711</v>
      </c>
      <c r="BE28" s="1289"/>
      <c r="BF28" s="759"/>
      <c r="BG28" s="791"/>
      <c r="BH28" s="789"/>
      <c r="BJ28" s="740"/>
      <c r="BK28" s="740"/>
      <c r="BL28" s="740"/>
      <c r="BM28" s="740"/>
      <c r="BN28" s="740"/>
      <c r="BO28" s="740"/>
      <c r="BP28" s="740"/>
      <c r="BQ28" s="740"/>
      <c r="BR28" s="740"/>
      <c r="BS28" s="740"/>
      <c r="BT28" s="740"/>
      <c r="BU28" s="740"/>
      <c r="BV28" s="740"/>
      <c r="BW28" s="740"/>
      <c r="BX28" s="740"/>
      <c r="BY28" s="740"/>
      <c r="BZ28" s="740"/>
      <c r="CA28" s="740"/>
      <c r="CB28" s="740"/>
      <c r="CC28" s="740"/>
      <c r="CD28" s="740"/>
      <c r="CE28" s="740"/>
      <c r="CF28" s="740"/>
      <c r="CG28" s="740"/>
      <c r="CH28" s="740"/>
      <c r="CI28" s="740"/>
      <c r="CJ28" s="740"/>
      <c r="CK28" s="740"/>
      <c r="CL28" s="740"/>
      <c r="CM28" s="740"/>
      <c r="CN28" s="740"/>
      <c r="CO28" s="740"/>
      <c r="CP28" s="740"/>
      <c r="CQ28" s="740"/>
      <c r="CR28" s="740"/>
      <c r="CS28" s="740"/>
      <c r="CT28" s="740"/>
      <c r="CU28" s="740"/>
      <c r="CV28" s="740"/>
      <c r="CW28" s="740"/>
      <c r="CX28" s="740"/>
      <c r="CY28" s="740"/>
      <c r="CZ28" s="740"/>
      <c r="DA28" s="740"/>
      <c r="DB28" s="740"/>
      <c r="DC28" s="740"/>
      <c r="DD28" s="740"/>
      <c r="DE28" s="740"/>
      <c r="DF28" s="740"/>
      <c r="DG28" s="740"/>
      <c r="DH28" s="740"/>
      <c r="DI28" s="740"/>
      <c r="DJ28" s="740"/>
      <c r="DK28" s="740"/>
      <c r="DL28" s="740"/>
      <c r="DM28" s="740"/>
      <c r="DN28" s="740"/>
      <c r="DO28" s="740"/>
      <c r="DP28" s="740"/>
      <c r="DQ28" s="740"/>
      <c r="DR28" s="740"/>
      <c r="DS28" s="740"/>
      <c r="DT28" s="740"/>
      <c r="DU28" s="740"/>
      <c r="DV28" s="740"/>
      <c r="DW28" s="740"/>
      <c r="DX28" s="740"/>
      <c r="DY28" s="740"/>
      <c r="DZ28" s="740"/>
      <c r="EA28" s="740"/>
      <c r="EB28" s="740"/>
      <c r="EC28" s="740"/>
      <c r="ED28" s="740"/>
      <c r="EE28" s="740"/>
      <c r="EF28" s="740"/>
      <c r="EG28" s="740"/>
      <c r="EH28" s="740"/>
      <c r="EI28" s="740"/>
      <c r="EJ28" s="740"/>
      <c r="EK28" s="740"/>
      <c r="EL28" s="740"/>
      <c r="EM28" s="740"/>
      <c r="EN28" s="740"/>
      <c r="EO28" s="740"/>
      <c r="EP28" s="740"/>
      <c r="EQ28" s="740"/>
      <c r="ER28" s="740"/>
      <c r="ES28" s="740"/>
      <c r="ET28" s="740"/>
      <c r="EU28" s="740"/>
      <c r="EV28" s="740"/>
      <c r="EW28" s="740"/>
      <c r="EX28" s="740"/>
      <c r="EY28" s="740"/>
      <c r="EZ28" s="740"/>
      <c r="FA28" s="740"/>
      <c r="FB28" s="740"/>
      <c r="FC28" s="740"/>
      <c r="FD28" s="740"/>
      <c r="FE28" s="740"/>
      <c r="FF28" s="740"/>
      <c r="FG28" s="740"/>
      <c r="FH28" s="740"/>
      <c r="FI28" s="740"/>
      <c r="FJ28" s="740"/>
      <c r="FK28" s="740"/>
      <c r="FL28" s="740"/>
      <c r="FM28" s="740"/>
      <c r="FN28" s="740"/>
      <c r="FO28" s="740"/>
      <c r="FP28" s="740"/>
      <c r="FQ28" s="740"/>
      <c r="FR28" s="740"/>
      <c r="FS28" s="740"/>
      <c r="FT28" s="740"/>
      <c r="FU28" s="740"/>
      <c r="FV28" s="740"/>
      <c r="FW28" s="740"/>
      <c r="FX28" s="740"/>
      <c r="FY28" s="740"/>
      <c r="FZ28" s="740"/>
      <c r="GA28" s="740"/>
      <c r="GB28" s="740"/>
      <c r="GC28" s="740"/>
      <c r="GD28" s="740"/>
      <c r="GE28" s="740"/>
      <c r="GF28" s="740"/>
      <c r="GG28" s="740"/>
      <c r="GH28" s="740"/>
      <c r="GI28" s="740"/>
      <c r="GJ28" s="740"/>
      <c r="GK28" s="740"/>
      <c r="GL28" s="740"/>
      <c r="GM28" s="740"/>
      <c r="GN28" s="740"/>
      <c r="GO28" s="740"/>
      <c r="GP28" s="740"/>
      <c r="GQ28" s="740"/>
      <c r="GR28" s="740"/>
      <c r="GS28" s="740"/>
      <c r="GT28" s="740"/>
      <c r="GU28" s="740"/>
      <c r="GV28" s="740"/>
      <c r="GW28" s="740"/>
    </row>
    <row r="29" spans="1:205" ht="19.149999999999999" customHeight="1" x14ac:dyDescent="0.45">
      <c r="A29" s="2503"/>
      <c r="C29" s="1438"/>
      <c r="D29" s="757"/>
      <c r="E29" s="86" t="s">
        <v>897</v>
      </c>
      <c r="F29" s="2326"/>
      <c r="G29" s="2332"/>
      <c r="H29" s="2825">
        <v>10</v>
      </c>
      <c r="I29" s="2223" t="s">
        <v>791</v>
      </c>
      <c r="J29" s="2223"/>
      <c r="K29" s="2278"/>
      <c r="L29" s="2627">
        <f>$H$29*Preise!$N$56/'Färse(a)'!L8:M8/(1+Stammdaten!$P$10)</f>
        <v>8</v>
      </c>
      <c r="M29" s="2830"/>
      <c r="N29" s="2829">
        <f>$H$29*Preise!$N$56/'Färse(a)'!N8:O8/(1+Stammdaten!$P$10)</f>
        <v>7.4666666666666686</v>
      </c>
      <c r="O29" s="2831"/>
      <c r="P29" s="2829">
        <f>$H$29*Preise!$N$56/'Färse(a)'!P8:Q8/(1+Stammdaten!$P$10)</f>
        <v>6.9333333333333345</v>
      </c>
      <c r="Q29" s="2331"/>
      <c r="R29" s="2503"/>
      <c r="T29" s="740"/>
      <c r="U29" s="740"/>
      <c r="V29" s="740"/>
      <c r="W29" s="740"/>
      <c r="X29" s="740"/>
      <c r="Y29" s="740"/>
      <c r="AA29" s="740"/>
      <c r="AB29" s="740"/>
      <c r="AC29" s="740"/>
      <c r="AD29" s="740"/>
      <c r="AE29" s="740"/>
      <c r="AF29" s="468"/>
      <c r="AG29" s="189"/>
      <c r="AH29" s="189"/>
      <c r="AI29" s="468"/>
      <c r="AJ29" s="771"/>
      <c r="AK29" s="468"/>
      <c r="AL29" s="771"/>
      <c r="AX29" s="1303"/>
      <c r="AY29" s="1302"/>
      <c r="AZ29" s="789"/>
      <c r="BA29" s="792"/>
      <c r="BB29" s="1301"/>
      <c r="BC29" s="1302"/>
      <c r="BD29" s="1291"/>
      <c r="BE29" s="1289"/>
      <c r="BF29" s="759"/>
      <c r="BG29" s="791"/>
      <c r="BH29" s="789"/>
      <c r="BJ29" s="740"/>
      <c r="BK29" s="740"/>
      <c r="BL29" s="740"/>
      <c r="BM29" s="740"/>
      <c r="BN29" s="740"/>
      <c r="BO29" s="740"/>
      <c r="BP29" s="740"/>
      <c r="BQ29" s="740"/>
      <c r="BR29" s="740"/>
      <c r="BS29" s="740"/>
      <c r="BT29" s="740"/>
      <c r="BU29" s="740"/>
      <c r="BV29" s="740"/>
      <c r="BW29" s="740"/>
      <c r="BX29" s="740"/>
      <c r="BY29" s="740"/>
      <c r="BZ29" s="740"/>
      <c r="CA29" s="740"/>
      <c r="CB29" s="740"/>
      <c r="CC29" s="740"/>
      <c r="CD29" s="740"/>
      <c r="CE29" s="740"/>
      <c r="CF29" s="740"/>
      <c r="CG29" s="740"/>
      <c r="CH29" s="740"/>
      <c r="CI29" s="740"/>
      <c r="CJ29" s="740"/>
      <c r="CK29" s="740"/>
      <c r="CL29" s="740"/>
      <c r="CM29" s="740"/>
      <c r="CN29" s="740"/>
      <c r="CO29" s="740"/>
      <c r="CP29" s="740"/>
      <c r="CQ29" s="740"/>
      <c r="CR29" s="740"/>
      <c r="CS29" s="740"/>
      <c r="CT29" s="740"/>
      <c r="CU29" s="740"/>
      <c r="CV29" s="740"/>
      <c r="CW29" s="740"/>
      <c r="CX29" s="740"/>
      <c r="CY29" s="740"/>
      <c r="CZ29" s="740"/>
      <c r="DA29" s="740"/>
      <c r="DB29" s="740"/>
      <c r="DC29" s="740"/>
      <c r="DD29" s="740"/>
      <c r="DE29" s="740"/>
      <c r="DF29" s="740"/>
      <c r="DG29" s="740"/>
      <c r="DH29" s="740"/>
      <c r="DI29" s="740"/>
      <c r="DJ29" s="740"/>
      <c r="DK29" s="740"/>
      <c r="DL29" s="740"/>
      <c r="DM29" s="740"/>
      <c r="DN29" s="740"/>
      <c r="DO29" s="740"/>
      <c r="DP29" s="740"/>
      <c r="DQ29" s="740"/>
      <c r="DR29" s="740"/>
      <c r="DS29" s="740"/>
      <c r="DT29" s="740"/>
      <c r="DU29" s="740"/>
      <c r="DV29" s="740"/>
      <c r="DW29" s="740"/>
      <c r="DX29" s="740"/>
      <c r="DY29" s="740"/>
      <c r="DZ29" s="740"/>
      <c r="EA29" s="740"/>
      <c r="EB29" s="740"/>
      <c r="EC29" s="740"/>
      <c r="ED29" s="740"/>
      <c r="EE29" s="740"/>
      <c r="EF29" s="740"/>
      <c r="EG29" s="740"/>
      <c r="EH29" s="740"/>
      <c r="EI29" s="740"/>
      <c r="EJ29" s="740"/>
      <c r="EK29" s="740"/>
      <c r="EL29" s="740"/>
      <c r="EM29" s="740"/>
      <c r="EN29" s="740"/>
      <c r="EO29" s="740"/>
      <c r="EP29" s="740"/>
      <c r="EQ29" s="740"/>
      <c r="ER29" s="740"/>
      <c r="ES29" s="740"/>
      <c r="ET29" s="740"/>
      <c r="EU29" s="740"/>
      <c r="EV29" s="740"/>
      <c r="EW29" s="740"/>
      <c r="EX29" s="740"/>
      <c r="EY29" s="740"/>
      <c r="EZ29" s="740"/>
      <c r="FA29" s="740"/>
      <c r="FB29" s="740"/>
      <c r="FC29" s="740"/>
      <c r="FD29" s="740"/>
      <c r="FE29" s="740"/>
      <c r="FF29" s="740"/>
      <c r="FG29" s="740"/>
      <c r="FH29" s="740"/>
      <c r="FI29" s="740"/>
      <c r="FJ29" s="740"/>
      <c r="FK29" s="740"/>
      <c r="FL29" s="740"/>
      <c r="FM29" s="740"/>
      <c r="FN29" s="740"/>
      <c r="FO29" s="740"/>
      <c r="FP29" s="740"/>
      <c r="FQ29" s="740"/>
      <c r="FR29" s="740"/>
      <c r="FS29" s="740"/>
      <c r="FT29" s="740"/>
      <c r="FU29" s="740"/>
      <c r="FV29" s="740"/>
      <c r="FW29" s="740"/>
      <c r="FX29" s="740"/>
      <c r="FY29" s="740"/>
      <c r="FZ29" s="740"/>
      <c r="GA29" s="740"/>
      <c r="GB29" s="740"/>
      <c r="GC29" s="740"/>
      <c r="GD29" s="740"/>
      <c r="GE29" s="740"/>
      <c r="GF29" s="740"/>
      <c r="GG29" s="740"/>
      <c r="GH29" s="740"/>
      <c r="GI29" s="740"/>
      <c r="GJ29" s="740"/>
      <c r="GK29" s="740"/>
      <c r="GL29" s="740"/>
      <c r="GM29" s="740"/>
      <c r="GN29" s="740"/>
      <c r="GO29" s="740"/>
      <c r="GP29" s="740"/>
      <c r="GQ29" s="740"/>
      <c r="GR29" s="740"/>
      <c r="GS29" s="740"/>
      <c r="GT29" s="740"/>
      <c r="GU29" s="740"/>
      <c r="GV29" s="740"/>
      <c r="GW29" s="740"/>
    </row>
    <row r="30" spans="1:205" ht="19.149999999999999" customHeight="1" x14ac:dyDescent="0.2">
      <c r="A30" s="2503"/>
      <c r="C30" s="1438"/>
      <c r="D30" s="757"/>
      <c r="E30" s="2335" t="s">
        <v>438</v>
      </c>
      <c r="F30" s="2326"/>
      <c r="G30" s="2332"/>
      <c r="H30" s="2332"/>
      <c r="I30" s="444"/>
      <c r="J30" s="2279"/>
      <c r="K30" s="2278"/>
      <c r="L30" s="2333">
        <v>10</v>
      </c>
      <c r="M30" s="2328"/>
      <c r="N30" s="2334">
        <v>10</v>
      </c>
      <c r="O30" s="2330"/>
      <c r="P30" s="2334">
        <v>10</v>
      </c>
      <c r="Q30" s="2331"/>
      <c r="R30" s="2503"/>
      <c r="T30" s="740"/>
      <c r="U30" s="740"/>
      <c r="V30" s="740"/>
      <c r="W30" s="740"/>
      <c r="X30" s="740"/>
      <c r="Y30" s="740"/>
      <c r="Z30" s="740"/>
      <c r="AA30" s="740"/>
      <c r="AB30" s="740"/>
      <c r="AC30" s="740"/>
      <c r="AD30" s="740"/>
      <c r="AE30" s="740"/>
      <c r="AF30" s="468" t="s">
        <v>400</v>
      </c>
      <c r="AG30" s="189"/>
      <c r="AH30" s="189"/>
      <c r="AI30" s="468" t="s">
        <v>401</v>
      </c>
      <c r="AJ30" s="771"/>
      <c r="AK30" s="703">
        <v>14.3</v>
      </c>
      <c r="AL30" s="771"/>
      <c r="AX30" s="1303"/>
      <c r="AY30" s="1302"/>
      <c r="AZ30" s="789"/>
      <c r="BA30" s="792"/>
      <c r="BB30" s="1303"/>
      <c r="BC30" s="1302"/>
      <c r="BD30" s="789"/>
      <c r="BE30" s="790"/>
      <c r="BF30" s="759"/>
      <c r="BG30" s="791"/>
      <c r="BH30" s="789"/>
      <c r="BJ30" s="740"/>
      <c r="BK30" s="740"/>
      <c r="BL30" s="740"/>
      <c r="BM30" s="740"/>
      <c r="BN30" s="740"/>
      <c r="BO30" s="740"/>
      <c r="BP30" s="740"/>
      <c r="BQ30" s="740"/>
      <c r="BR30" s="740"/>
      <c r="BS30" s="740"/>
      <c r="BT30" s="740"/>
      <c r="BU30" s="740"/>
      <c r="BV30" s="740"/>
      <c r="BW30" s="740"/>
      <c r="BX30" s="740"/>
      <c r="BY30" s="740"/>
      <c r="BZ30" s="740"/>
      <c r="CA30" s="740"/>
      <c r="CB30" s="740"/>
      <c r="CC30" s="740"/>
      <c r="CD30" s="740"/>
      <c r="CE30" s="740"/>
      <c r="CF30" s="740"/>
      <c r="CG30" s="740"/>
      <c r="CH30" s="740"/>
      <c r="CI30" s="740"/>
      <c r="CJ30" s="740"/>
      <c r="CK30" s="740"/>
      <c r="CL30" s="740"/>
      <c r="CM30" s="740"/>
      <c r="CN30" s="740"/>
      <c r="CO30" s="740"/>
      <c r="CP30" s="740"/>
      <c r="CQ30" s="740"/>
      <c r="CR30" s="740"/>
      <c r="CS30" s="740"/>
      <c r="CT30" s="740"/>
      <c r="CU30" s="740"/>
      <c r="CV30" s="740"/>
      <c r="CW30" s="740"/>
      <c r="CX30" s="740"/>
      <c r="CY30" s="740"/>
      <c r="CZ30" s="740"/>
      <c r="DA30" s="740"/>
      <c r="DB30" s="740"/>
      <c r="DC30" s="740"/>
      <c r="DD30" s="740"/>
      <c r="DE30" s="740"/>
      <c r="DF30" s="740"/>
      <c r="DG30" s="740"/>
      <c r="DH30" s="740"/>
      <c r="DI30" s="740"/>
      <c r="DJ30" s="740"/>
      <c r="DK30" s="740"/>
      <c r="DL30" s="740"/>
      <c r="DM30" s="740"/>
      <c r="DN30" s="740"/>
      <c r="DO30" s="740"/>
      <c r="DP30" s="740"/>
      <c r="DQ30" s="740"/>
      <c r="DR30" s="740"/>
      <c r="DS30" s="740"/>
      <c r="DT30" s="740"/>
      <c r="DU30" s="740"/>
      <c r="DV30" s="740"/>
      <c r="DW30" s="740"/>
      <c r="DX30" s="740"/>
      <c r="DY30" s="740"/>
      <c r="DZ30" s="740"/>
      <c r="EA30" s="740"/>
      <c r="EB30" s="740"/>
      <c r="EC30" s="740"/>
      <c r="ED30" s="740"/>
      <c r="EE30" s="740"/>
      <c r="EF30" s="740"/>
      <c r="EG30" s="740"/>
      <c r="EH30" s="740"/>
      <c r="EI30" s="740"/>
      <c r="EJ30" s="740"/>
      <c r="EK30" s="740"/>
      <c r="EL30" s="740"/>
      <c r="EM30" s="740"/>
      <c r="EN30" s="740"/>
      <c r="EO30" s="740"/>
      <c r="EP30" s="740"/>
      <c r="EQ30" s="740"/>
      <c r="ER30" s="740"/>
      <c r="ES30" s="740"/>
      <c r="ET30" s="740"/>
      <c r="EU30" s="740"/>
      <c r="EV30" s="740"/>
      <c r="EW30" s="740"/>
      <c r="EX30" s="740"/>
      <c r="EY30" s="740"/>
      <c r="EZ30" s="740"/>
      <c r="FA30" s="740"/>
      <c r="FB30" s="740"/>
      <c r="FC30" s="740"/>
      <c r="FD30" s="740"/>
      <c r="FE30" s="740"/>
      <c r="FF30" s="740"/>
      <c r="FG30" s="740"/>
      <c r="FH30" s="740"/>
      <c r="FI30" s="740"/>
      <c r="FJ30" s="740"/>
      <c r="FK30" s="740"/>
      <c r="FL30" s="740"/>
      <c r="FM30" s="740"/>
      <c r="FN30" s="740"/>
      <c r="FO30" s="740"/>
      <c r="FP30" s="740"/>
      <c r="FQ30" s="740"/>
      <c r="FR30" s="740"/>
      <c r="FS30" s="740"/>
      <c r="FT30" s="740"/>
      <c r="FU30" s="740"/>
      <c r="FV30" s="740"/>
      <c r="FW30" s="740"/>
      <c r="FX30" s="740"/>
      <c r="FY30" s="740"/>
      <c r="FZ30" s="740"/>
      <c r="GA30" s="740"/>
      <c r="GB30" s="740"/>
      <c r="GC30" s="740"/>
      <c r="GD30" s="740"/>
      <c r="GE30" s="740"/>
      <c r="GF30" s="740"/>
      <c r="GG30" s="740"/>
      <c r="GH30" s="740"/>
      <c r="GI30" s="740"/>
      <c r="GJ30" s="740"/>
      <c r="GK30" s="740"/>
      <c r="GL30" s="740"/>
      <c r="GM30" s="740"/>
      <c r="GN30" s="740"/>
      <c r="GO30" s="740"/>
      <c r="GP30" s="740"/>
      <c r="GQ30" s="740"/>
      <c r="GR30" s="740"/>
      <c r="GS30" s="740"/>
      <c r="GT30" s="740"/>
      <c r="GU30" s="740"/>
      <c r="GV30" s="740"/>
      <c r="GW30" s="740"/>
    </row>
    <row r="31" spans="1:205" ht="19.149999999999999" customHeight="1" x14ac:dyDescent="0.2">
      <c r="A31" s="2503"/>
      <c r="C31" s="1438"/>
      <c r="D31" s="757"/>
      <c r="E31" s="2325" t="s">
        <v>1192</v>
      </c>
      <c r="F31" s="2326"/>
      <c r="G31" s="2332"/>
      <c r="H31" s="2332"/>
      <c r="I31" s="444"/>
      <c r="J31" s="2279"/>
      <c r="K31" s="2278"/>
      <c r="L31" s="2333">
        <v>33</v>
      </c>
      <c r="M31" s="2328"/>
      <c r="N31" s="2334">
        <v>31</v>
      </c>
      <c r="O31" s="2330"/>
      <c r="P31" s="2334">
        <v>28</v>
      </c>
      <c r="Q31" s="2331"/>
      <c r="R31" s="2503"/>
      <c r="T31" s="740"/>
      <c r="U31" s="740"/>
      <c r="V31" s="740"/>
      <c r="W31" s="740"/>
      <c r="X31" s="740"/>
      <c r="Y31" s="740"/>
      <c r="Z31" s="740"/>
      <c r="AA31" s="740"/>
      <c r="AB31" s="740"/>
      <c r="AC31" s="740"/>
      <c r="AD31" s="740"/>
      <c r="AE31" s="740"/>
      <c r="AF31" s="468"/>
      <c r="AG31" s="189"/>
      <c r="AH31" s="189"/>
      <c r="AI31" s="468" t="s">
        <v>402</v>
      </c>
      <c r="AJ31" s="771"/>
      <c r="AK31" s="703">
        <v>16.899999999999999</v>
      </c>
      <c r="AL31" s="771"/>
      <c r="AX31" s="1304" t="s">
        <v>857</v>
      </c>
      <c r="AY31" s="1305" t="s">
        <v>1079</v>
      </c>
      <c r="AZ31" s="711" t="s">
        <v>857</v>
      </c>
      <c r="BA31" s="712" t="s">
        <v>1079</v>
      </c>
      <c r="BB31" s="1304" t="s">
        <v>857</v>
      </c>
      <c r="BC31" s="1305" t="s">
        <v>1079</v>
      </c>
      <c r="BD31" s="711" t="s">
        <v>857</v>
      </c>
      <c r="BE31" s="938" t="s">
        <v>1079</v>
      </c>
      <c r="BF31" s="759"/>
      <c r="BG31" s="710" t="s">
        <v>857</v>
      </c>
      <c r="BH31" s="711" t="s">
        <v>1079</v>
      </c>
      <c r="BJ31" s="740"/>
      <c r="BK31" s="740"/>
      <c r="BL31" s="740"/>
      <c r="BM31" s="740"/>
      <c r="BN31" s="740"/>
      <c r="BO31" s="740"/>
      <c r="BP31" s="740"/>
      <c r="BQ31" s="740"/>
      <c r="BR31" s="740"/>
      <c r="BS31" s="740"/>
      <c r="BT31" s="740"/>
      <c r="BU31" s="740"/>
      <c r="BV31" s="740"/>
      <c r="BW31" s="740"/>
      <c r="BX31" s="740"/>
      <c r="BY31" s="740"/>
      <c r="BZ31" s="740"/>
      <c r="CA31" s="740"/>
      <c r="CB31" s="740"/>
      <c r="CC31" s="740"/>
      <c r="CD31" s="740"/>
      <c r="CE31" s="740"/>
      <c r="CF31" s="740"/>
      <c r="CG31" s="740"/>
      <c r="CH31" s="740"/>
      <c r="CI31" s="740"/>
      <c r="CJ31" s="740"/>
      <c r="CK31" s="740"/>
      <c r="CL31" s="740"/>
      <c r="CM31" s="740"/>
      <c r="CN31" s="740"/>
      <c r="CO31" s="740"/>
      <c r="CP31" s="740"/>
      <c r="CQ31" s="740"/>
      <c r="CR31" s="740"/>
      <c r="CS31" s="740"/>
      <c r="CT31" s="740"/>
      <c r="CU31" s="740"/>
      <c r="CV31" s="740"/>
      <c r="CW31" s="740"/>
      <c r="CX31" s="740"/>
      <c r="CY31" s="740"/>
      <c r="CZ31" s="740"/>
      <c r="DA31" s="740"/>
      <c r="DB31" s="740"/>
      <c r="DC31" s="740"/>
      <c r="DD31" s="740"/>
      <c r="DE31" s="740"/>
      <c r="DF31" s="740"/>
      <c r="DG31" s="740"/>
      <c r="DH31" s="740"/>
      <c r="DI31" s="740"/>
      <c r="DJ31" s="740"/>
      <c r="DK31" s="740"/>
      <c r="DL31" s="740"/>
      <c r="DM31" s="740"/>
      <c r="DN31" s="740"/>
      <c r="DO31" s="740"/>
      <c r="DP31" s="740"/>
      <c r="DQ31" s="740"/>
      <c r="DR31" s="740"/>
      <c r="DS31" s="740"/>
      <c r="DT31" s="740"/>
      <c r="DU31" s="740"/>
      <c r="DV31" s="740"/>
      <c r="DW31" s="740"/>
      <c r="DX31" s="740"/>
      <c r="DY31" s="740"/>
      <c r="DZ31" s="740"/>
      <c r="EA31" s="740"/>
      <c r="EB31" s="740"/>
      <c r="EC31" s="740"/>
      <c r="ED31" s="740"/>
      <c r="EE31" s="740"/>
      <c r="EF31" s="740"/>
      <c r="EG31" s="740"/>
      <c r="EH31" s="740"/>
      <c r="EI31" s="740"/>
      <c r="EJ31" s="740"/>
      <c r="EK31" s="740"/>
      <c r="EL31" s="740"/>
      <c r="EM31" s="740"/>
      <c r="EN31" s="740"/>
      <c r="EO31" s="740"/>
      <c r="EP31" s="740"/>
      <c r="EQ31" s="740"/>
      <c r="ER31" s="740"/>
      <c r="ES31" s="740"/>
      <c r="ET31" s="740"/>
      <c r="EU31" s="740"/>
      <c r="EV31" s="740"/>
      <c r="EW31" s="740"/>
      <c r="EX31" s="740"/>
      <c r="EY31" s="740"/>
      <c r="EZ31" s="740"/>
      <c r="FA31" s="740"/>
      <c r="FB31" s="740"/>
      <c r="FC31" s="740"/>
      <c r="FD31" s="740"/>
      <c r="FE31" s="740"/>
      <c r="FF31" s="740"/>
      <c r="FG31" s="740"/>
      <c r="FH31" s="740"/>
      <c r="FI31" s="740"/>
      <c r="FJ31" s="740"/>
      <c r="FK31" s="740"/>
      <c r="FL31" s="740"/>
      <c r="FM31" s="740"/>
      <c r="FN31" s="740"/>
      <c r="FO31" s="740"/>
      <c r="FP31" s="740"/>
      <c r="FQ31" s="740"/>
      <c r="FR31" s="740"/>
      <c r="FS31" s="740"/>
      <c r="FT31" s="740"/>
      <c r="FU31" s="740"/>
      <c r="FV31" s="740"/>
      <c r="FW31" s="740"/>
      <c r="FX31" s="740"/>
      <c r="FY31" s="740"/>
      <c r="FZ31" s="740"/>
      <c r="GA31" s="740"/>
      <c r="GB31" s="740"/>
      <c r="GC31" s="740"/>
      <c r="GD31" s="740"/>
      <c r="GE31" s="740"/>
      <c r="GF31" s="740"/>
      <c r="GG31" s="740"/>
      <c r="GH31" s="740"/>
      <c r="GI31" s="740"/>
      <c r="GJ31" s="740"/>
      <c r="GK31" s="740"/>
      <c r="GL31" s="740"/>
      <c r="GM31" s="740"/>
      <c r="GN31" s="740"/>
      <c r="GO31" s="740"/>
      <c r="GP31" s="740"/>
      <c r="GQ31" s="740"/>
      <c r="GR31" s="740"/>
      <c r="GS31" s="740"/>
      <c r="GT31" s="740"/>
      <c r="GU31" s="740"/>
      <c r="GV31" s="740"/>
      <c r="GW31" s="740"/>
    </row>
    <row r="32" spans="1:205" ht="19.149999999999999" customHeight="1" x14ac:dyDescent="0.25">
      <c r="A32" s="2503"/>
      <c r="C32" s="1438"/>
      <c r="D32" s="757"/>
      <c r="E32" s="2325" t="s">
        <v>760</v>
      </c>
      <c r="F32" s="2326"/>
      <c r="G32" s="2332"/>
      <c r="H32" s="2332"/>
      <c r="I32" s="444"/>
      <c r="J32" s="2279"/>
      <c r="K32" s="2278"/>
      <c r="L32" s="2627">
        <f>(L180*Preise!$N$58)/(1+Stammdaten!$P$11)</f>
        <v>58.285714285714292</v>
      </c>
      <c r="M32" s="2328"/>
      <c r="N32" s="2628">
        <f>(N180*Preise!$N$58)/(1+Stammdaten!$P$11)</f>
        <v>57.375</v>
      </c>
      <c r="O32" s="2330"/>
      <c r="P32" s="2628">
        <f>(P180*Preise!$N$58)/(1+Stammdaten!$P$11)</f>
        <v>58.285714285714285</v>
      </c>
      <c r="Q32" s="2331"/>
      <c r="R32" s="2503"/>
      <c r="T32" s="740"/>
      <c r="U32" s="740"/>
      <c r="V32" s="740"/>
      <c r="W32" s="740"/>
      <c r="X32" s="988" t="s">
        <v>1586</v>
      </c>
      <c r="Y32" s="740"/>
      <c r="Z32" s="740"/>
      <c r="AA32" s="740"/>
      <c r="AB32" s="740"/>
      <c r="AC32" s="740"/>
      <c r="AD32" s="740"/>
      <c r="AE32" s="740"/>
      <c r="AF32" s="153" t="s">
        <v>403</v>
      </c>
      <c r="AG32" s="178"/>
      <c r="AH32" s="178"/>
      <c r="AI32" s="153" t="s">
        <v>401</v>
      </c>
      <c r="AJ32" s="770"/>
      <c r="AK32" s="704">
        <v>7.7</v>
      </c>
      <c r="AL32" s="770"/>
      <c r="AX32" s="1308"/>
      <c r="AY32" s="1307">
        <f>H145*AX32/100</f>
        <v>0</v>
      </c>
      <c r="AZ32" s="1295"/>
      <c r="BA32" s="716">
        <f>H145*AZ32/100</f>
        <v>0</v>
      </c>
      <c r="BB32" s="1314">
        <f t="shared" ref="BB32:BB38" si="0">K145+AX32</f>
        <v>70</v>
      </c>
      <c r="BC32" s="1307">
        <f>H145*BB32/100</f>
        <v>19.474</v>
      </c>
      <c r="BD32" s="1293">
        <f>O145+AZ32</f>
        <v>70</v>
      </c>
      <c r="BE32" s="737">
        <f>H145*BD32/100</f>
        <v>19.474</v>
      </c>
      <c r="BF32" s="759"/>
      <c r="BG32" s="714">
        <v>184</v>
      </c>
      <c r="BH32" s="715">
        <f>BG32*H145/100</f>
        <v>51.188800000000001</v>
      </c>
      <c r="BJ32" s="740"/>
      <c r="BK32" s="740"/>
      <c r="BL32" s="740"/>
      <c r="BM32" s="740"/>
      <c r="BN32" s="740"/>
      <c r="BO32" s="740"/>
      <c r="BP32" s="740"/>
      <c r="BQ32" s="740"/>
      <c r="BR32" s="740"/>
      <c r="BS32" s="740"/>
      <c r="BT32" s="740"/>
      <c r="BU32" s="740"/>
      <c r="BV32" s="740"/>
      <c r="BW32" s="740"/>
      <c r="BX32" s="740"/>
      <c r="BY32" s="740"/>
      <c r="BZ32" s="740"/>
      <c r="CA32" s="740"/>
      <c r="CB32" s="740"/>
      <c r="CC32" s="740"/>
      <c r="CD32" s="740"/>
      <c r="CE32" s="740"/>
      <c r="CF32" s="740"/>
      <c r="CG32" s="740"/>
      <c r="CH32" s="740"/>
      <c r="CI32" s="740"/>
      <c r="CJ32" s="740"/>
      <c r="CK32" s="740"/>
      <c r="CL32" s="740"/>
      <c r="CM32" s="740"/>
      <c r="CN32" s="740"/>
      <c r="CO32" s="740"/>
      <c r="CP32" s="740"/>
      <c r="CQ32" s="740"/>
      <c r="CR32" s="740"/>
      <c r="CS32" s="740"/>
      <c r="CT32" s="740"/>
      <c r="CU32" s="740"/>
      <c r="CV32" s="740"/>
      <c r="CW32" s="740"/>
      <c r="CX32" s="740"/>
      <c r="CY32" s="740"/>
      <c r="CZ32" s="740"/>
      <c r="DA32" s="740"/>
      <c r="DB32" s="740"/>
      <c r="DC32" s="740"/>
      <c r="DD32" s="740"/>
      <c r="DE32" s="740"/>
      <c r="DF32" s="740"/>
      <c r="DG32" s="740"/>
      <c r="DH32" s="740"/>
      <c r="DI32" s="740"/>
      <c r="DJ32" s="740"/>
      <c r="DK32" s="740"/>
      <c r="DL32" s="740"/>
      <c r="DM32" s="740"/>
      <c r="DN32" s="740"/>
      <c r="DO32" s="740"/>
      <c r="DP32" s="740"/>
      <c r="DQ32" s="740"/>
      <c r="DR32" s="740"/>
      <c r="DS32" s="740"/>
      <c r="DT32" s="740"/>
      <c r="DU32" s="740"/>
      <c r="DV32" s="740"/>
      <c r="DW32" s="740"/>
      <c r="DX32" s="740"/>
      <c r="DY32" s="740"/>
      <c r="DZ32" s="740"/>
      <c r="EA32" s="740"/>
      <c r="EB32" s="740"/>
      <c r="EC32" s="740"/>
      <c r="ED32" s="740"/>
      <c r="EE32" s="740"/>
      <c r="EF32" s="740"/>
      <c r="EG32" s="740"/>
      <c r="EH32" s="740"/>
      <c r="EI32" s="740"/>
      <c r="EJ32" s="740"/>
      <c r="EK32" s="740"/>
      <c r="EL32" s="740"/>
      <c r="EM32" s="740"/>
      <c r="EN32" s="740"/>
      <c r="EO32" s="740"/>
      <c r="EP32" s="740"/>
      <c r="EQ32" s="740"/>
      <c r="ER32" s="740"/>
      <c r="ES32" s="740"/>
      <c r="ET32" s="740"/>
      <c r="EU32" s="740"/>
      <c r="EV32" s="740"/>
      <c r="EW32" s="740"/>
      <c r="EX32" s="740"/>
      <c r="EY32" s="740"/>
      <c r="EZ32" s="740"/>
      <c r="FA32" s="740"/>
      <c r="FB32" s="740"/>
      <c r="FC32" s="740"/>
      <c r="FD32" s="740"/>
      <c r="FE32" s="740"/>
      <c r="FF32" s="740"/>
      <c r="FG32" s="740"/>
      <c r="FH32" s="740"/>
      <c r="FI32" s="740"/>
      <c r="FJ32" s="740"/>
      <c r="FK32" s="740"/>
      <c r="FL32" s="740"/>
      <c r="FM32" s="740"/>
      <c r="FN32" s="740"/>
      <c r="FO32" s="740"/>
      <c r="FP32" s="740"/>
      <c r="FQ32" s="740"/>
      <c r="FR32" s="740"/>
      <c r="FS32" s="740"/>
      <c r="FT32" s="740"/>
      <c r="FU32" s="740"/>
      <c r="FV32" s="740"/>
      <c r="FW32" s="740"/>
      <c r="FX32" s="740"/>
      <c r="FY32" s="740"/>
      <c r="FZ32" s="740"/>
      <c r="GA32" s="740"/>
      <c r="GB32" s="740"/>
      <c r="GC32" s="740"/>
      <c r="GD32" s="740"/>
      <c r="GE32" s="740"/>
      <c r="GF32" s="740"/>
      <c r="GG32" s="740"/>
      <c r="GH32" s="740"/>
      <c r="GI32" s="740"/>
      <c r="GJ32" s="740"/>
      <c r="GK32" s="740"/>
      <c r="GL32" s="740"/>
      <c r="GM32" s="740"/>
      <c r="GN32" s="740"/>
      <c r="GO32" s="740"/>
      <c r="GP32" s="740"/>
      <c r="GQ32" s="740"/>
      <c r="GR32" s="740"/>
      <c r="GS32" s="740"/>
      <c r="GT32" s="740"/>
      <c r="GU32" s="740"/>
      <c r="GV32" s="740"/>
      <c r="GW32" s="740"/>
    </row>
    <row r="33" spans="1:205" ht="19.149999999999999" customHeight="1" x14ac:dyDescent="0.25">
      <c r="A33" s="2503"/>
      <c r="C33" s="1438"/>
      <c r="D33" s="757"/>
      <c r="E33" s="2325" t="s">
        <v>34</v>
      </c>
      <c r="G33" s="2633" t="str">
        <f>"überbetriebliche Gülleausbringung ( "&amp;ROUND(M16,0)&amp;" / "&amp;ROUND(O16,0)&amp;" / "&amp;ROUND(Q16,0)&amp;" m³)"</f>
        <v>überbetriebliche Gülleausbringung ( 16 / 17 / 18 m³)</v>
      </c>
      <c r="H33" s="2633"/>
      <c r="I33" s="444"/>
      <c r="J33" s="2279"/>
      <c r="K33" s="2278"/>
      <c r="L33" s="2627">
        <f>((ROUND(M16*Preise!$N$57,0)))/(1+Stammdaten!$P$11)</f>
        <v>74.999999999999986</v>
      </c>
      <c r="M33" s="2336"/>
      <c r="N33" s="2628">
        <f>((ROUND(O16*Preise!$N$57,0)))/(1+Stammdaten!$P$11)</f>
        <v>80.357142857142847</v>
      </c>
      <c r="O33" s="2337"/>
      <c r="P33" s="2628">
        <f>((ROUND(Q16*Preise!$N$57,0)))/(1+Stammdaten!$P$11)</f>
        <v>83.928571428571416</v>
      </c>
      <c r="Q33" s="2331"/>
      <c r="R33" s="2503"/>
      <c r="T33" s="740"/>
      <c r="U33" s="740"/>
      <c r="V33" s="740"/>
      <c r="W33" s="740"/>
      <c r="X33" s="988" t="s">
        <v>1587</v>
      </c>
      <c r="Y33" s="740"/>
      <c r="Z33" s="740"/>
      <c r="AA33" s="740"/>
      <c r="AB33" s="740"/>
      <c r="AC33" s="740"/>
      <c r="AD33" s="740"/>
      <c r="AE33" s="740"/>
      <c r="AF33" s="469"/>
      <c r="AG33" s="190"/>
      <c r="AH33" s="190"/>
      <c r="AI33" s="469" t="s">
        <v>402</v>
      </c>
      <c r="AJ33" s="773"/>
      <c r="AK33" s="705">
        <v>10.199999999999999</v>
      </c>
      <c r="AL33" s="773"/>
      <c r="AR33" s="1331" t="s">
        <v>425</v>
      </c>
      <c r="AS33" s="1318"/>
      <c r="AT33" s="1318"/>
      <c r="AU33" s="1320">
        <f>Preise!$N$50</f>
        <v>27.82</v>
      </c>
      <c r="AV33" s="1318" t="s">
        <v>960</v>
      </c>
      <c r="AW33" s="1318"/>
      <c r="AX33" s="1306">
        <v>31</v>
      </c>
      <c r="AY33" s="1307">
        <f>H146*AX33/100</f>
        <v>99.841700000000003</v>
      </c>
      <c r="AZ33" s="1296">
        <v>0</v>
      </c>
      <c r="BA33" s="716">
        <f>H146*AZ33/100</f>
        <v>0</v>
      </c>
      <c r="BB33" s="1314">
        <f t="shared" si="0"/>
        <v>96</v>
      </c>
      <c r="BC33" s="1307">
        <f>H146*BB33/100</f>
        <v>309.18720000000002</v>
      </c>
      <c r="BD33" s="1293">
        <f>O146+AZ33</f>
        <v>50</v>
      </c>
      <c r="BE33" s="737">
        <f>H146*BD33/100</f>
        <v>161.035</v>
      </c>
      <c r="BF33" s="759"/>
      <c r="BG33" s="714">
        <v>4</v>
      </c>
      <c r="BH33" s="715">
        <f>BG33*H146/100</f>
        <v>12.8828</v>
      </c>
      <c r="BJ33" s="740"/>
      <c r="BK33" s="740"/>
      <c r="BL33" s="740"/>
      <c r="BM33" s="740"/>
      <c r="BN33" s="740"/>
      <c r="BO33" s="740"/>
      <c r="BP33" s="740"/>
      <c r="BQ33" s="740"/>
      <c r="BR33" s="740"/>
      <c r="BS33" s="740"/>
      <c r="BT33" s="740"/>
      <c r="BU33" s="740"/>
      <c r="BV33" s="740"/>
      <c r="BW33" s="740"/>
      <c r="BX33" s="740"/>
      <c r="BY33" s="740"/>
      <c r="BZ33" s="740"/>
      <c r="CA33" s="740"/>
      <c r="CB33" s="740"/>
      <c r="CC33" s="740"/>
      <c r="CD33" s="740"/>
      <c r="CE33" s="740"/>
      <c r="CF33" s="740"/>
      <c r="CG33" s="740"/>
      <c r="CH33" s="740"/>
      <c r="CI33" s="740"/>
      <c r="CJ33" s="740"/>
      <c r="CK33" s="740"/>
      <c r="CL33" s="740"/>
      <c r="CM33" s="740"/>
      <c r="CN33" s="740"/>
      <c r="CO33" s="740"/>
      <c r="CP33" s="740"/>
      <c r="CQ33" s="740"/>
      <c r="CR33" s="740"/>
      <c r="CS33" s="740"/>
      <c r="CT33" s="740"/>
      <c r="CU33" s="740"/>
      <c r="CV33" s="740"/>
      <c r="CW33" s="740"/>
      <c r="CX33" s="740"/>
      <c r="CY33" s="740"/>
      <c r="CZ33" s="740"/>
      <c r="DA33" s="740"/>
      <c r="DB33" s="740"/>
      <c r="DC33" s="740"/>
      <c r="DD33" s="740"/>
      <c r="DE33" s="740"/>
      <c r="DF33" s="740"/>
      <c r="DG33" s="740"/>
      <c r="DH33" s="740"/>
      <c r="DI33" s="740"/>
      <c r="DJ33" s="740"/>
      <c r="DK33" s="740"/>
      <c r="DL33" s="740"/>
      <c r="DM33" s="740"/>
      <c r="DN33" s="740"/>
      <c r="DO33" s="740"/>
      <c r="DP33" s="740"/>
      <c r="DQ33" s="740"/>
      <c r="DR33" s="740"/>
      <c r="DS33" s="740"/>
      <c r="DT33" s="740"/>
      <c r="DU33" s="740"/>
      <c r="DV33" s="740"/>
      <c r="DW33" s="740"/>
      <c r="DX33" s="740"/>
      <c r="DY33" s="740"/>
      <c r="DZ33" s="740"/>
      <c r="EA33" s="740"/>
      <c r="EB33" s="740"/>
      <c r="EC33" s="740"/>
      <c r="ED33" s="740"/>
      <c r="EE33" s="740"/>
      <c r="EF33" s="740"/>
      <c r="EG33" s="740"/>
      <c r="EH33" s="740"/>
      <c r="EI33" s="740"/>
      <c r="EJ33" s="740"/>
      <c r="EK33" s="740"/>
      <c r="EL33" s="740"/>
      <c r="EM33" s="740"/>
      <c r="EN33" s="740"/>
      <c r="EO33" s="740"/>
      <c r="EP33" s="740"/>
      <c r="EQ33" s="740"/>
      <c r="ER33" s="740"/>
      <c r="ES33" s="740"/>
      <c r="ET33" s="740"/>
      <c r="EU33" s="740"/>
      <c r="EV33" s="740"/>
      <c r="EW33" s="740"/>
      <c r="EX33" s="740"/>
      <c r="EY33" s="740"/>
      <c r="EZ33" s="740"/>
      <c r="FA33" s="740"/>
      <c r="FB33" s="740"/>
      <c r="FC33" s="740"/>
      <c r="FD33" s="740"/>
      <c r="FE33" s="740"/>
      <c r="FF33" s="740"/>
      <c r="FG33" s="740"/>
      <c r="FH33" s="740"/>
      <c r="FI33" s="740"/>
      <c r="FJ33" s="740"/>
      <c r="FK33" s="740"/>
      <c r="FL33" s="740"/>
      <c r="FM33" s="740"/>
      <c r="FN33" s="740"/>
      <c r="FO33" s="740"/>
      <c r="FP33" s="740"/>
      <c r="FQ33" s="740"/>
      <c r="FR33" s="740"/>
      <c r="FS33" s="740"/>
      <c r="FT33" s="740"/>
      <c r="FU33" s="740"/>
      <c r="FV33" s="740"/>
      <c r="FW33" s="740"/>
      <c r="FX33" s="740"/>
      <c r="FY33" s="740"/>
      <c r="FZ33" s="740"/>
      <c r="GA33" s="740"/>
      <c r="GB33" s="740"/>
      <c r="GC33" s="740"/>
      <c r="GD33" s="740"/>
      <c r="GE33" s="740"/>
      <c r="GF33" s="740"/>
      <c r="GG33" s="740"/>
      <c r="GH33" s="740"/>
      <c r="GI33" s="740"/>
      <c r="GJ33" s="740"/>
      <c r="GK33" s="740"/>
      <c r="GL33" s="740"/>
      <c r="GM33" s="740"/>
      <c r="GN33" s="740"/>
      <c r="GO33" s="740"/>
      <c r="GP33" s="740"/>
      <c r="GQ33" s="740"/>
      <c r="GR33" s="740"/>
      <c r="GS33" s="740"/>
      <c r="GT33" s="740"/>
      <c r="GU33" s="740"/>
      <c r="GV33" s="740"/>
      <c r="GW33" s="740"/>
    </row>
    <row r="34" spans="1:205" ht="19.149999999999999" customHeight="1" x14ac:dyDescent="0.2">
      <c r="A34" s="2503"/>
      <c r="C34" s="1485"/>
      <c r="D34" s="774"/>
      <c r="E34" s="2338" t="s">
        <v>36</v>
      </c>
      <c r="G34" s="2339" t="s">
        <v>439</v>
      </c>
      <c r="H34" s="2340"/>
      <c r="I34" s="444"/>
      <c r="J34" s="2279"/>
      <c r="K34" s="2341"/>
      <c r="L34" s="2333">
        <v>50</v>
      </c>
      <c r="M34" s="2328"/>
      <c r="N34" s="2334">
        <v>50</v>
      </c>
      <c r="O34" s="2330"/>
      <c r="P34" s="2334">
        <v>50</v>
      </c>
      <c r="Q34" s="2331"/>
      <c r="R34" s="2503"/>
      <c r="T34" s="740"/>
      <c r="U34" s="740"/>
      <c r="V34" s="740"/>
      <c r="W34" s="740"/>
      <c r="X34" s="988" t="s">
        <v>1588</v>
      </c>
      <c r="Y34" s="740"/>
      <c r="Z34" s="740"/>
      <c r="AA34" s="740"/>
      <c r="AB34" s="740"/>
      <c r="AC34" s="740"/>
      <c r="AD34" s="740"/>
      <c r="AE34" s="740"/>
      <c r="AF34" s="701" t="s">
        <v>404</v>
      </c>
      <c r="AG34" s="199"/>
      <c r="AH34" s="199"/>
      <c r="AI34" s="701"/>
      <c r="AJ34" s="775"/>
      <c r="AK34" s="706">
        <v>4.5999999999999996</v>
      </c>
      <c r="AL34" s="775"/>
      <c r="AR34" s="1333" t="s">
        <v>414</v>
      </c>
      <c r="AS34" s="1319"/>
      <c r="AT34" s="1319"/>
      <c r="AU34" s="1321">
        <f>Preise!$N$51</f>
        <v>322.07</v>
      </c>
      <c r="AV34" s="1319" t="s">
        <v>1013</v>
      </c>
      <c r="AW34" s="1319"/>
      <c r="AX34" s="1308"/>
      <c r="AY34" s="1307">
        <f>H147*AX34</f>
        <v>0</v>
      </c>
      <c r="AZ34" s="1295"/>
      <c r="BA34" s="716">
        <f>H147*AZ34</f>
        <v>0</v>
      </c>
      <c r="BB34" s="1314">
        <f t="shared" si="0"/>
        <v>0</v>
      </c>
      <c r="BC34" s="1307">
        <f>H147*BB34</f>
        <v>0</v>
      </c>
      <c r="BD34" s="1294"/>
      <c r="BE34" s="737">
        <f>H147*BD34</f>
        <v>0</v>
      </c>
      <c r="BF34" s="759"/>
      <c r="BG34" s="714"/>
      <c r="BH34" s="715">
        <f>BG34*H147</f>
        <v>0</v>
      </c>
      <c r="BJ34" s="740"/>
      <c r="BK34" s="740"/>
      <c r="BL34" s="740"/>
      <c r="BM34" s="740"/>
      <c r="BN34" s="740"/>
      <c r="BO34" s="740"/>
      <c r="BP34" s="740"/>
      <c r="BQ34" s="740"/>
      <c r="BR34" s="740"/>
      <c r="BS34" s="740"/>
      <c r="BT34" s="740"/>
      <c r="BU34" s="740"/>
      <c r="BV34" s="740"/>
      <c r="BW34" s="740"/>
      <c r="BX34" s="740"/>
      <c r="BY34" s="740"/>
      <c r="BZ34" s="740"/>
      <c r="CA34" s="740"/>
      <c r="CB34" s="740"/>
      <c r="CC34" s="740"/>
      <c r="CD34" s="740"/>
      <c r="CE34" s="740"/>
      <c r="CF34" s="740"/>
      <c r="CG34" s="740"/>
      <c r="CH34" s="740"/>
      <c r="CI34" s="740"/>
      <c r="CJ34" s="740"/>
      <c r="CK34" s="740"/>
      <c r="CL34" s="740"/>
      <c r="CM34" s="740"/>
      <c r="CN34" s="740"/>
      <c r="CO34" s="740"/>
      <c r="CP34" s="740"/>
      <c r="CQ34" s="740"/>
      <c r="CR34" s="740"/>
      <c r="CS34" s="740"/>
      <c r="CT34" s="740"/>
      <c r="CU34" s="740"/>
      <c r="CV34" s="740"/>
      <c r="CW34" s="740"/>
      <c r="CX34" s="740"/>
      <c r="CY34" s="740"/>
      <c r="CZ34" s="740"/>
      <c r="DA34" s="740"/>
      <c r="DB34" s="740"/>
      <c r="DC34" s="740"/>
      <c r="DD34" s="740"/>
      <c r="DE34" s="740"/>
      <c r="DF34" s="740"/>
      <c r="DG34" s="740"/>
      <c r="DH34" s="740"/>
      <c r="DI34" s="740"/>
      <c r="DJ34" s="740"/>
      <c r="DK34" s="740"/>
      <c r="DL34" s="740"/>
      <c r="DM34" s="740"/>
      <c r="DN34" s="740"/>
      <c r="DO34" s="740"/>
      <c r="DP34" s="740"/>
      <c r="DQ34" s="740"/>
      <c r="DR34" s="740"/>
      <c r="DS34" s="740"/>
      <c r="DT34" s="740"/>
      <c r="DU34" s="740"/>
      <c r="DV34" s="740"/>
      <c r="DW34" s="740"/>
      <c r="DX34" s="740"/>
      <c r="DY34" s="740"/>
      <c r="DZ34" s="740"/>
      <c r="EA34" s="740"/>
      <c r="EB34" s="740"/>
      <c r="EC34" s="740"/>
      <c r="ED34" s="740"/>
      <c r="EE34" s="740"/>
      <c r="EF34" s="740"/>
      <c r="EG34" s="740"/>
      <c r="EH34" s="740"/>
      <c r="EI34" s="740"/>
      <c r="EJ34" s="740"/>
      <c r="EK34" s="740"/>
      <c r="EL34" s="740"/>
      <c r="EM34" s="740"/>
      <c r="EN34" s="740"/>
      <c r="EO34" s="740"/>
      <c r="EP34" s="740"/>
      <c r="EQ34" s="740"/>
      <c r="ER34" s="740"/>
      <c r="ES34" s="740"/>
      <c r="ET34" s="740"/>
      <c r="EU34" s="740"/>
      <c r="EV34" s="740"/>
      <c r="EW34" s="740"/>
      <c r="EX34" s="740"/>
      <c r="EY34" s="740"/>
      <c r="EZ34" s="740"/>
      <c r="FA34" s="740"/>
      <c r="FB34" s="740"/>
      <c r="FC34" s="740"/>
      <c r="FD34" s="740"/>
      <c r="FE34" s="740"/>
      <c r="FF34" s="740"/>
      <c r="FG34" s="740"/>
      <c r="FH34" s="740"/>
      <c r="FI34" s="740"/>
      <c r="FJ34" s="740"/>
      <c r="FK34" s="740"/>
      <c r="FL34" s="740"/>
      <c r="FM34" s="740"/>
      <c r="FN34" s="740"/>
      <c r="FO34" s="740"/>
      <c r="FP34" s="740"/>
      <c r="FQ34" s="740"/>
      <c r="FR34" s="740"/>
      <c r="FS34" s="740"/>
      <c r="FT34" s="740"/>
      <c r="FU34" s="740"/>
      <c r="FV34" s="740"/>
      <c r="FW34" s="740"/>
      <c r="FX34" s="740"/>
      <c r="FY34" s="740"/>
      <c r="FZ34" s="740"/>
      <c r="GA34" s="740"/>
      <c r="GB34" s="740"/>
      <c r="GC34" s="740"/>
      <c r="GD34" s="740"/>
      <c r="GE34" s="740"/>
      <c r="GF34" s="740"/>
      <c r="GG34" s="740"/>
      <c r="GH34" s="740"/>
      <c r="GI34" s="740"/>
      <c r="GJ34" s="740"/>
      <c r="GK34" s="740"/>
      <c r="GL34" s="740"/>
      <c r="GM34" s="740"/>
      <c r="GN34" s="740"/>
      <c r="GO34" s="740"/>
      <c r="GP34" s="740"/>
      <c r="GQ34" s="740"/>
      <c r="GR34" s="740"/>
      <c r="GS34" s="740"/>
      <c r="GT34" s="740"/>
      <c r="GU34" s="740"/>
      <c r="GV34" s="740"/>
      <c r="GW34" s="740"/>
    </row>
    <row r="35" spans="1:205" s="758" customFormat="1" ht="22.9" customHeight="1" x14ac:dyDescent="0.25">
      <c r="A35" s="2503"/>
      <c r="B35" s="739"/>
      <c r="C35" s="2356"/>
      <c r="D35" s="2357" t="s">
        <v>574</v>
      </c>
      <c r="E35" s="809"/>
      <c r="F35" s="2342"/>
      <c r="G35" s="2279"/>
      <c r="H35" s="2343"/>
      <c r="I35" s="642"/>
      <c r="J35" s="642"/>
      <c r="K35" s="2277" t="s">
        <v>61</v>
      </c>
      <c r="L35" s="2344"/>
      <c r="M35" s="2345">
        <f>M36*H36/100</f>
        <v>21.817807824000003</v>
      </c>
      <c r="N35" s="2346"/>
      <c r="O35" s="2347">
        <f>O36*H36/100</f>
        <v>21.674070381886754</v>
      </c>
      <c r="P35" s="2348"/>
      <c r="Q35" s="2349">
        <f>Q36*H36/100</f>
        <v>20.801660479866268</v>
      </c>
      <c r="R35" s="2503"/>
      <c r="T35" s="740"/>
      <c r="U35" s="740"/>
      <c r="V35" s="740"/>
      <c r="W35" s="740"/>
      <c r="X35" s="740"/>
      <c r="Y35" s="740"/>
      <c r="Z35" s="740"/>
      <c r="AA35" s="740"/>
      <c r="AB35" s="740"/>
      <c r="AC35" s="740"/>
      <c r="AD35" s="740"/>
      <c r="AE35" s="740"/>
      <c r="AF35" s="740"/>
      <c r="AG35" s="740"/>
      <c r="AH35" s="740"/>
      <c r="AI35" s="740"/>
      <c r="AJ35" s="740"/>
      <c r="AK35" s="740"/>
      <c r="AL35" s="740"/>
      <c r="AM35" s="740"/>
      <c r="AN35" s="740"/>
      <c r="AO35" s="740"/>
      <c r="AP35" s="740"/>
      <c r="AR35" s="1331"/>
      <c r="AS35" s="1318"/>
      <c r="AT35" s="1318"/>
      <c r="AU35" s="1322"/>
      <c r="AV35" s="1318" t="s">
        <v>1013</v>
      </c>
      <c r="AW35" s="1318"/>
      <c r="AX35" s="1306">
        <v>40</v>
      </c>
      <c r="AY35" s="1307">
        <f>H148*AX35/100</f>
        <v>16.905999999999999</v>
      </c>
      <c r="AZ35" s="1296">
        <v>60</v>
      </c>
      <c r="BA35" s="716">
        <f>H148*AZ35/100</f>
        <v>25.359000000000002</v>
      </c>
      <c r="BB35" s="1314">
        <f t="shared" si="0"/>
        <v>60</v>
      </c>
      <c r="BC35" s="1307">
        <f>H148*BB35/100</f>
        <v>25.359000000000002</v>
      </c>
      <c r="BD35" s="1293">
        <f>O148+AZ35</f>
        <v>80</v>
      </c>
      <c r="BE35" s="737">
        <f>H148*BD35/100</f>
        <v>33.811999999999998</v>
      </c>
      <c r="BF35" s="759"/>
      <c r="BG35" s="714">
        <v>44</v>
      </c>
      <c r="BH35" s="715">
        <f>BG35*H148/100</f>
        <v>18.596600000000002</v>
      </c>
      <c r="BJ35" s="740"/>
      <c r="BK35" s="740"/>
      <c r="BL35" s="740"/>
      <c r="BM35" s="740"/>
      <c r="BN35" s="740"/>
      <c r="BO35" s="740"/>
      <c r="BP35" s="740"/>
      <c r="BQ35" s="740"/>
      <c r="BR35" s="740"/>
      <c r="BS35" s="740"/>
      <c r="BT35" s="740"/>
      <c r="BU35" s="740"/>
      <c r="BV35" s="740"/>
      <c r="BW35" s="740"/>
      <c r="BX35" s="740"/>
      <c r="BY35" s="740"/>
      <c r="BZ35" s="740"/>
      <c r="CA35" s="740"/>
      <c r="CB35" s="740"/>
      <c r="CC35" s="740"/>
      <c r="CD35" s="740"/>
      <c r="CE35" s="740"/>
      <c r="CF35" s="740"/>
      <c r="CG35" s="740"/>
      <c r="CH35" s="740"/>
      <c r="CI35" s="740"/>
      <c r="CJ35" s="740"/>
      <c r="CK35" s="740"/>
      <c r="CL35" s="740"/>
      <c r="CM35" s="740"/>
      <c r="CN35" s="740"/>
      <c r="CO35" s="740"/>
      <c r="CP35" s="740"/>
      <c r="CQ35" s="740"/>
      <c r="CR35" s="740"/>
      <c r="CS35" s="740"/>
      <c r="CT35" s="740"/>
      <c r="CU35" s="740"/>
      <c r="CV35" s="740"/>
      <c r="CW35" s="740"/>
      <c r="CX35" s="740"/>
      <c r="CY35" s="740"/>
      <c r="CZ35" s="740"/>
      <c r="DA35" s="740"/>
      <c r="DB35" s="740"/>
      <c r="DC35" s="740"/>
      <c r="DD35" s="740"/>
      <c r="DE35" s="740"/>
      <c r="DF35" s="740"/>
      <c r="DG35" s="740"/>
      <c r="DH35" s="740"/>
      <c r="DI35" s="740"/>
      <c r="DJ35" s="740"/>
      <c r="DK35" s="740"/>
      <c r="DL35" s="740"/>
      <c r="DM35" s="740"/>
      <c r="DN35" s="740"/>
      <c r="DO35" s="740"/>
      <c r="DP35" s="740"/>
      <c r="DQ35" s="740"/>
      <c r="DR35" s="740"/>
      <c r="DS35" s="740"/>
      <c r="DT35" s="740"/>
      <c r="DU35" s="740"/>
      <c r="DV35" s="740"/>
      <c r="DW35" s="740"/>
      <c r="DX35" s="740"/>
      <c r="DY35" s="740"/>
      <c r="DZ35" s="740"/>
      <c r="EA35" s="740"/>
      <c r="EB35" s="740"/>
      <c r="EC35" s="740"/>
      <c r="ED35" s="740"/>
      <c r="EE35" s="740"/>
      <c r="EF35" s="740"/>
      <c r="EG35" s="740"/>
      <c r="EH35" s="740"/>
      <c r="EI35" s="740"/>
      <c r="EJ35" s="740"/>
      <c r="EK35" s="740"/>
      <c r="EL35" s="740"/>
      <c r="EM35" s="740"/>
      <c r="EN35" s="740"/>
      <c r="EO35" s="740"/>
      <c r="EP35" s="740"/>
      <c r="EQ35" s="740"/>
      <c r="ER35" s="740"/>
      <c r="ES35" s="740"/>
      <c r="ET35" s="740"/>
      <c r="EU35" s="740"/>
      <c r="EV35" s="740"/>
      <c r="EW35" s="740"/>
      <c r="EX35" s="740"/>
      <c r="EY35" s="740"/>
      <c r="EZ35" s="740"/>
      <c r="FA35" s="740"/>
      <c r="FB35" s="740"/>
      <c r="FC35" s="740"/>
      <c r="FD35" s="740"/>
      <c r="FE35" s="740"/>
      <c r="FF35" s="740"/>
      <c r="FG35" s="740"/>
      <c r="FH35" s="740"/>
      <c r="FI35" s="740"/>
      <c r="FJ35" s="740"/>
      <c r="FK35" s="740"/>
      <c r="FL35" s="740"/>
      <c r="FM35" s="740"/>
      <c r="FN35" s="740"/>
      <c r="FO35" s="740"/>
      <c r="FP35" s="740"/>
      <c r="FQ35" s="740"/>
      <c r="FR35" s="740"/>
      <c r="FS35" s="740"/>
      <c r="FT35" s="740"/>
      <c r="FU35" s="740"/>
      <c r="FV35" s="740"/>
      <c r="FW35" s="740"/>
      <c r="FX35" s="740"/>
      <c r="FY35" s="740"/>
      <c r="FZ35" s="740"/>
      <c r="GA35" s="740"/>
      <c r="GB35" s="740"/>
      <c r="GC35" s="740"/>
      <c r="GD35" s="740"/>
      <c r="GE35" s="740"/>
      <c r="GF35" s="740"/>
      <c r="GG35" s="740"/>
      <c r="GH35" s="740"/>
      <c r="GI35" s="740"/>
      <c r="GJ35" s="740"/>
      <c r="GK35" s="740"/>
      <c r="GL35" s="740"/>
      <c r="GM35" s="740"/>
      <c r="GN35" s="740"/>
      <c r="GO35" s="740"/>
      <c r="GP35" s="740"/>
      <c r="GQ35" s="740"/>
      <c r="GR35" s="740"/>
      <c r="GS35" s="740"/>
      <c r="GT35" s="740"/>
      <c r="GU35" s="740"/>
      <c r="GV35" s="740"/>
      <c r="GW35" s="740"/>
    </row>
    <row r="36" spans="1:205" s="758" customFormat="1" ht="22.9" customHeight="1" x14ac:dyDescent="0.25">
      <c r="A36" s="2503"/>
      <c r="B36" s="739"/>
      <c r="C36" s="2358"/>
      <c r="D36" s="528"/>
      <c r="E36" s="444" t="s">
        <v>40</v>
      </c>
      <c r="F36" s="2279"/>
      <c r="H36" s="2495">
        <f>Stammdaten!P30</f>
        <v>1.5</v>
      </c>
      <c r="I36" s="2350"/>
      <c r="J36" s="2350"/>
      <c r="K36" s="2288" t="s">
        <v>41</v>
      </c>
      <c r="L36" s="2351"/>
      <c r="M36" s="2352">
        <f>(M18+((M20+M25)*0.6))*L7/12</f>
        <v>1454.5205216000002</v>
      </c>
      <c r="N36" s="2353"/>
      <c r="O36" s="2330">
        <f>(O18+((O20+O25)*0.6))*N7/12</f>
        <v>1444.9380254591169</v>
      </c>
      <c r="P36" s="2354"/>
      <c r="Q36" s="2355">
        <f>(Q18+((Q20+Q25)*0.6))*P7/12</f>
        <v>1386.7773653244178</v>
      </c>
      <c r="R36" s="2503"/>
      <c r="T36" s="740"/>
      <c r="U36" s="740"/>
      <c r="V36" s="740"/>
      <c r="W36" s="740"/>
      <c r="X36" s="740"/>
      <c r="Y36" s="740"/>
      <c r="Z36" s="740"/>
      <c r="AA36" s="740"/>
      <c r="AB36" s="740"/>
      <c r="AC36" s="740"/>
      <c r="AD36" s="740"/>
      <c r="AE36" s="740"/>
      <c r="AF36" s="740"/>
      <c r="AG36" s="740"/>
      <c r="AH36" s="740"/>
      <c r="AI36" s="740"/>
      <c r="AJ36" s="740"/>
      <c r="AK36" s="740"/>
      <c r="AL36" s="740"/>
      <c r="AM36" s="740"/>
      <c r="AN36" s="740"/>
      <c r="AO36" s="740"/>
      <c r="AP36" s="740"/>
      <c r="AR36" s="1333" t="s">
        <v>415</v>
      </c>
      <c r="AS36" s="1319"/>
      <c r="AT36" s="1319"/>
      <c r="AU36" s="1321">
        <f>Preise!$N$52</f>
        <v>42.265000000000001</v>
      </c>
      <c r="AV36" s="1319" t="s">
        <v>1013</v>
      </c>
      <c r="AW36" s="1319"/>
      <c r="AX36" s="1306">
        <v>50</v>
      </c>
      <c r="AY36" s="1307">
        <f>H149*AX36/100</f>
        <v>21.1325</v>
      </c>
      <c r="AZ36" s="1296">
        <v>55</v>
      </c>
      <c r="BA36" s="716">
        <f>H149*AZ36/100</f>
        <v>23.245749999999997</v>
      </c>
      <c r="BB36" s="1314">
        <f t="shared" si="0"/>
        <v>65</v>
      </c>
      <c r="BC36" s="1307">
        <f>H149*BB36/100</f>
        <v>27.472249999999999</v>
      </c>
      <c r="BD36" s="1293">
        <f>O149+AZ36</f>
        <v>70</v>
      </c>
      <c r="BE36" s="737">
        <f>H149*BD36/100</f>
        <v>29.585500000000003</v>
      </c>
      <c r="BF36" s="759"/>
      <c r="BG36" s="714"/>
      <c r="BH36" s="715">
        <f>BG36*H149</f>
        <v>0</v>
      </c>
      <c r="BJ36" s="740"/>
      <c r="BK36" s="740"/>
      <c r="BL36" s="740"/>
      <c r="BM36" s="740"/>
      <c r="BN36" s="740"/>
      <c r="BO36" s="740"/>
      <c r="BP36" s="740"/>
      <c r="BQ36" s="740"/>
      <c r="BR36" s="740"/>
      <c r="BS36" s="740"/>
      <c r="BT36" s="740"/>
      <c r="BU36" s="740"/>
      <c r="BV36" s="740"/>
      <c r="BW36" s="740"/>
      <c r="BX36" s="740"/>
      <c r="BY36" s="740"/>
      <c r="BZ36" s="740"/>
      <c r="CA36" s="740"/>
      <c r="CB36" s="740"/>
      <c r="CC36" s="740"/>
      <c r="CD36" s="740"/>
      <c r="CE36" s="740"/>
      <c r="CF36" s="740"/>
      <c r="CG36" s="740"/>
      <c r="CH36" s="740"/>
      <c r="CI36" s="740"/>
      <c r="CJ36" s="740"/>
      <c r="CK36" s="740"/>
      <c r="CL36" s="740"/>
      <c r="CM36" s="740"/>
      <c r="CN36" s="740"/>
      <c r="CO36" s="740"/>
      <c r="CP36" s="740"/>
      <c r="CQ36" s="740"/>
      <c r="CR36" s="740"/>
      <c r="CS36" s="740"/>
      <c r="CT36" s="740"/>
      <c r="CU36" s="740"/>
      <c r="CV36" s="740"/>
      <c r="CW36" s="740"/>
      <c r="CX36" s="740"/>
      <c r="CY36" s="740"/>
      <c r="CZ36" s="740"/>
      <c r="DA36" s="740"/>
      <c r="DB36" s="740"/>
      <c r="DC36" s="740"/>
      <c r="DD36" s="740"/>
      <c r="DE36" s="740"/>
      <c r="DF36" s="740"/>
      <c r="DG36" s="740"/>
      <c r="DH36" s="740"/>
      <c r="DI36" s="740"/>
      <c r="DJ36" s="740"/>
      <c r="DK36" s="740"/>
      <c r="DL36" s="740"/>
      <c r="DM36" s="740"/>
      <c r="DN36" s="740"/>
      <c r="DO36" s="740"/>
      <c r="DP36" s="740"/>
      <c r="DQ36" s="740"/>
      <c r="DR36" s="740"/>
      <c r="DS36" s="740"/>
      <c r="DT36" s="740"/>
      <c r="DU36" s="740"/>
      <c r="DV36" s="740"/>
      <c r="DW36" s="740"/>
      <c r="DX36" s="740"/>
      <c r="DY36" s="740"/>
      <c r="DZ36" s="740"/>
      <c r="EA36" s="740"/>
      <c r="EB36" s="740"/>
      <c r="EC36" s="740"/>
      <c r="ED36" s="740"/>
      <c r="EE36" s="740"/>
      <c r="EF36" s="740"/>
      <c r="EG36" s="740"/>
      <c r="EH36" s="740"/>
      <c r="EI36" s="740"/>
      <c r="EJ36" s="740"/>
      <c r="EK36" s="740"/>
      <c r="EL36" s="740"/>
      <c r="EM36" s="740"/>
      <c r="EN36" s="740"/>
      <c r="EO36" s="740"/>
      <c r="EP36" s="740"/>
      <c r="EQ36" s="740"/>
      <c r="ER36" s="740"/>
      <c r="ES36" s="740"/>
      <c r="ET36" s="740"/>
      <c r="EU36" s="740"/>
      <c r="EV36" s="740"/>
      <c r="EW36" s="740"/>
      <c r="EX36" s="740"/>
      <c r="EY36" s="740"/>
      <c r="EZ36" s="740"/>
      <c r="FA36" s="740"/>
      <c r="FB36" s="740"/>
      <c r="FC36" s="740"/>
      <c r="FD36" s="740"/>
      <c r="FE36" s="740"/>
      <c r="FF36" s="740"/>
      <c r="FG36" s="740"/>
      <c r="FH36" s="740"/>
      <c r="FI36" s="740"/>
      <c r="FJ36" s="740"/>
      <c r="FK36" s="740"/>
      <c r="FL36" s="740"/>
      <c r="FM36" s="740"/>
      <c r="FN36" s="740"/>
      <c r="FO36" s="740"/>
      <c r="FP36" s="740"/>
      <c r="FQ36" s="740"/>
      <c r="FR36" s="740"/>
      <c r="FS36" s="740"/>
      <c r="FT36" s="740"/>
      <c r="FU36" s="740"/>
      <c r="FV36" s="740"/>
      <c r="FW36" s="740"/>
      <c r="FX36" s="740"/>
      <c r="FY36" s="740"/>
      <c r="FZ36" s="740"/>
      <c r="GA36" s="740"/>
      <c r="GB36" s="740"/>
      <c r="GC36" s="740"/>
      <c r="GD36" s="740"/>
      <c r="GE36" s="740"/>
      <c r="GF36" s="740"/>
      <c r="GG36" s="740"/>
      <c r="GH36" s="740"/>
      <c r="GI36" s="740"/>
      <c r="GJ36" s="740"/>
      <c r="GK36" s="740"/>
      <c r="GL36" s="740"/>
      <c r="GM36" s="740"/>
      <c r="GN36" s="740"/>
      <c r="GO36" s="740"/>
      <c r="GP36" s="740"/>
      <c r="GQ36" s="740"/>
      <c r="GR36" s="740"/>
      <c r="GS36" s="740"/>
      <c r="GT36" s="740"/>
      <c r="GU36" s="740"/>
      <c r="GV36" s="740"/>
      <c r="GW36" s="740"/>
    </row>
    <row r="37" spans="1:205" s="758" customFormat="1" ht="22.9" customHeight="1" x14ac:dyDescent="0.2">
      <c r="A37" s="2503"/>
      <c r="B37" s="739"/>
      <c r="C37" s="2359"/>
      <c r="D37" s="809" t="s">
        <v>42</v>
      </c>
      <c r="E37" s="2342"/>
      <c r="F37" s="2342"/>
      <c r="G37" s="2342"/>
      <c r="H37" s="2342"/>
      <c r="I37" s="642"/>
      <c r="J37" s="642"/>
      <c r="K37" s="2277" t="s">
        <v>61</v>
      </c>
      <c r="L37" s="2344"/>
      <c r="M37" s="2345">
        <f>M48+M45+M42</f>
        <v>1307.9680000000001</v>
      </c>
      <c r="N37" s="2360"/>
      <c r="O37" s="2347">
        <f>O48+O45+O42</f>
        <v>1092.0419999999999</v>
      </c>
      <c r="P37" s="2348"/>
      <c r="Q37" s="2349">
        <f>Q48+Q45+Q42</f>
        <v>960.43200000000002</v>
      </c>
      <c r="R37" s="2503"/>
      <c r="T37" s="740"/>
      <c r="U37" s="740"/>
      <c r="V37" s="740"/>
      <c r="W37" s="740"/>
      <c r="X37" s="740"/>
      <c r="Y37" s="740"/>
      <c r="Z37" s="740"/>
      <c r="AA37" s="740"/>
      <c r="AB37" s="740"/>
      <c r="AC37" s="740"/>
      <c r="AD37" s="740"/>
      <c r="AE37" s="740"/>
      <c r="AF37" s="740"/>
      <c r="AG37" s="740"/>
      <c r="AH37" s="740"/>
      <c r="AI37" s="740"/>
      <c r="AJ37" s="740"/>
      <c r="AK37" s="740"/>
      <c r="AL37" s="740"/>
      <c r="AM37" s="740"/>
      <c r="AN37" s="740"/>
      <c r="AO37" s="740"/>
      <c r="AP37" s="740"/>
      <c r="AR37" s="1331" t="s">
        <v>416</v>
      </c>
      <c r="AS37" s="1318"/>
      <c r="AT37" s="1318"/>
      <c r="AU37" s="1336">
        <f>Preise!$N$52</f>
        <v>42.265000000000001</v>
      </c>
      <c r="AV37" s="1318" t="s">
        <v>1013</v>
      </c>
      <c r="AW37" s="1318"/>
      <c r="AX37" s="1308"/>
      <c r="AY37" s="1307">
        <f>H150*AX37</f>
        <v>0</v>
      </c>
      <c r="AZ37" s="1295"/>
      <c r="BA37" s="716">
        <f>H150*AZ37</f>
        <v>0</v>
      </c>
      <c r="BB37" s="1314">
        <f t="shared" si="0"/>
        <v>0</v>
      </c>
      <c r="BC37" s="1307">
        <f>H150*BB37</f>
        <v>0</v>
      </c>
      <c r="BD37" s="1294"/>
      <c r="BE37" s="737">
        <f>H150*BD37</f>
        <v>0</v>
      </c>
      <c r="BF37" s="759"/>
      <c r="BG37" s="714"/>
      <c r="BH37" s="715">
        <f>BG37*H150</f>
        <v>0</v>
      </c>
      <c r="BJ37" s="740"/>
      <c r="BK37" s="740"/>
      <c r="BL37" s="740"/>
      <c r="BM37" s="740"/>
      <c r="BN37" s="740"/>
      <c r="BO37" s="740"/>
      <c r="BP37" s="740"/>
      <c r="BQ37" s="740"/>
      <c r="BR37" s="740"/>
      <c r="BS37" s="740"/>
      <c r="BT37" s="740"/>
      <c r="BU37" s="740"/>
      <c r="BV37" s="740"/>
      <c r="BW37" s="740"/>
      <c r="BX37" s="740"/>
      <c r="BY37" s="740"/>
      <c r="BZ37" s="740"/>
      <c r="CA37" s="740"/>
      <c r="CB37" s="740"/>
      <c r="CC37" s="740"/>
      <c r="CD37" s="740"/>
      <c r="CE37" s="740"/>
      <c r="CF37" s="740"/>
      <c r="CG37" s="740"/>
      <c r="CH37" s="740"/>
      <c r="CI37" s="740"/>
      <c r="CJ37" s="740"/>
      <c r="CK37" s="740"/>
      <c r="CL37" s="740"/>
      <c r="CM37" s="740"/>
      <c r="CN37" s="740"/>
      <c r="CO37" s="740"/>
      <c r="CP37" s="740"/>
      <c r="CQ37" s="740"/>
      <c r="CR37" s="740"/>
      <c r="CS37" s="740"/>
      <c r="CT37" s="740"/>
      <c r="CU37" s="740"/>
      <c r="CV37" s="740"/>
      <c r="CW37" s="740"/>
      <c r="CX37" s="740"/>
      <c r="CY37" s="740"/>
      <c r="CZ37" s="740"/>
      <c r="DA37" s="740"/>
      <c r="DB37" s="740"/>
      <c r="DC37" s="740"/>
      <c r="DD37" s="740"/>
      <c r="DE37" s="740"/>
      <c r="DF37" s="740"/>
      <c r="DG37" s="740"/>
      <c r="DH37" s="740"/>
      <c r="DI37" s="740"/>
      <c r="DJ37" s="740"/>
      <c r="DK37" s="740"/>
      <c r="DL37" s="740"/>
      <c r="DM37" s="740"/>
      <c r="DN37" s="740"/>
      <c r="DO37" s="740"/>
      <c r="DP37" s="740"/>
      <c r="DQ37" s="740"/>
      <c r="DR37" s="740"/>
      <c r="DS37" s="740"/>
      <c r="DT37" s="740"/>
      <c r="DU37" s="740"/>
      <c r="DV37" s="740"/>
      <c r="DW37" s="740"/>
      <c r="DX37" s="740"/>
      <c r="DY37" s="740"/>
      <c r="DZ37" s="740"/>
      <c r="EA37" s="740"/>
      <c r="EB37" s="740"/>
      <c r="EC37" s="740"/>
      <c r="ED37" s="740"/>
      <c r="EE37" s="740"/>
      <c r="EF37" s="740"/>
      <c r="EG37" s="740"/>
      <c r="EH37" s="740"/>
      <c r="EI37" s="740"/>
      <c r="EJ37" s="740"/>
      <c r="EK37" s="740"/>
      <c r="EL37" s="740"/>
      <c r="EM37" s="740"/>
      <c r="EN37" s="740"/>
      <c r="EO37" s="740"/>
      <c r="EP37" s="740"/>
      <c r="EQ37" s="740"/>
      <c r="ER37" s="740"/>
      <c r="ES37" s="740"/>
      <c r="ET37" s="740"/>
      <c r="EU37" s="740"/>
      <c r="EV37" s="740"/>
      <c r="EW37" s="740"/>
      <c r="EX37" s="740"/>
      <c r="EY37" s="740"/>
      <c r="EZ37" s="740"/>
      <c r="FA37" s="740"/>
      <c r="FB37" s="740"/>
      <c r="FC37" s="740"/>
      <c r="FD37" s="740"/>
      <c r="FE37" s="740"/>
      <c r="FF37" s="740"/>
      <c r="FG37" s="740"/>
      <c r="FH37" s="740"/>
      <c r="FI37" s="740"/>
      <c r="FJ37" s="740"/>
      <c r="FK37" s="740"/>
      <c r="FL37" s="740"/>
      <c r="FM37" s="740"/>
      <c r="FN37" s="740"/>
      <c r="FO37" s="740"/>
      <c r="FP37" s="740"/>
      <c r="FQ37" s="740"/>
      <c r="FR37" s="740"/>
      <c r="FS37" s="740"/>
      <c r="FT37" s="740"/>
      <c r="FU37" s="740"/>
      <c r="FV37" s="740"/>
      <c r="FW37" s="740"/>
      <c r="FX37" s="740"/>
      <c r="FY37" s="740"/>
      <c r="FZ37" s="740"/>
      <c r="GA37" s="740"/>
      <c r="GB37" s="740"/>
      <c r="GC37" s="740"/>
      <c r="GD37" s="740"/>
      <c r="GE37" s="740"/>
      <c r="GF37" s="740"/>
      <c r="GG37" s="740"/>
      <c r="GH37" s="740"/>
      <c r="GI37" s="740"/>
      <c r="GJ37" s="740"/>
      <c r="GK37" s="740"/>
      <c r="GL37" s="740"/>
      <c r="GM37" s="740"/>
      <c r="GN37" s="740"/>
      <c r="GO37" s="740"/>
      <c r="GP37" s="740"/>
      <c r="GQ37" s="740"/>
      <c r="GR37" s="740"/>
      <c r="GS37" s="740"/>
      <c r="GT37" s="740"/>
      <c r="GU37" s="740"/>
      <c r="GV37" s="740"/>
      <c r="GW37" s="740"/>
    </row>
    <row r="38" spans="1:205" s="758" customFormat="1" ht="22.9" customHeight="1" x14ac:dyDescent="0.25">
      <c r="A38" s="2503"/>
      <c r="B38" s="739"/>
      <c r="C38" s="2358"/>
      <c r="D38" s="528"/>
      <c r="E38" s="2361"/>
      <c r="F38" s="528"/>
      <c r="G38" s="528"/>
      <c r="H38" s="2357"/>
      <c r="I38" s="2350"/>
      <c r="J38" s="2350"/>
      <c r="K38" s="2362" t="s">
        <v>247</v>
      </c>
      <c r="L38" s="2363"/>
      <c r="M38" s="2364">
        <f>M37/L39</f>
        <v>0.40874000000000005</v>
      </c>
      <c r="N38" s="2365"/>
      <c r="O38" s="2366">
        <f>O37/N39</f>
        <v>0.40445999999999999</v>
      </c>
      <c r="P38" s="2367"/>
      <c r="Q38" s="2368">
        <f>Q37/P39</f>
        <v>0.40017999999999998</v>
      </c>
      <c r="R38" s="2503"/>
      <c r="T38" s="740"/>
      <c r="U38" s="740"/>
      <c r="V38" s="740" t="s">
        <v>497</v>
      </c>
      <c r="W38" s="740"/>
      <c r="X38" s="740" t="s">
        <v>499</v>
      </c>
      <c r="Y38" s="740"/>
      <c r="Z38" s="764" t="s">
        <v>498</v>
      </c>
      <c r="AA38" s="765"/>
      <c r="AB38" s="765"/>
      <c r="AC38" s="765"/>
      <c r="AD38" s="765"/>
      <c r="AE38" s="766"/>
      <c r="AF38" s="740"/>
      <c r="AG38" s="740"/>
      <c r="AH38" s="740"/>
      <c r="AI38" s="740"/>
      <c r="AJ38" s="740"/>
      <c r="AK38" s="740"/>
      <c r="AL38" s="740"/>
      <c r="AM38" s="740"/>
      <c r="AN38" s="740"/>
      <c r="AO38" s="740"/>
      <c r="AP38" s="740"/>
      <c r="AR38" s="1333"/>
      <c r="AS38" s="1319"/>
      <c r="AT38" s="1319"/>
      <c r="AU38" s="1321"/>
      <c r="AV38" s="1319" t="s">
        <v>1013</v>
      </c>
      <c r="AW38" s="1319"/>
      <c r="AX38" s="1306">
        <v>40</v>
      </c>
      <c r="AY38" s="1307">
        <f>H151*AX38/100</f>
        <v>5.9920000000000009</v>
      </c>
      <c r="AZ38" s="1296">
        <v>60</v>
      </c>
      <c r="BA38" s="716">
        <f>H151*AZ38/100</f>
        <v>8.9880000000000013</v>
      </c>
      <c r="BB38" s="1314">
        <f t="shared" si="0"/>
        <v>45</v>
      </c>
      <c r="BC38" s="1307">
        <f>H151*BB38/100</f>
        <v>6.7410000000000005</v>
      </c>
      <c r="BD38" s="1293">
        <f>O151+AZ38</f>
        <v>70</v>
      </c>
      <c r="BE38" s="737">
        <f>H151*BD38/100</f>
        <v>10.486000000000001</v>
      </c>
      <c r="BF38" s="759"/>
      <c r="BG38" s="714">
        <v>20</v>
      </c>
      <c r="BH38" s="715">
        <f>BG38*H151/100</f>
        <v>2.9960000000000004</v>
      </c>
      <c r="BJ38" s="740"/>
      <c r="BK38" s="740"/>
      <c r="BL38" s="740"/>
      <c r="BM38" s="740"/>
      <c r="BN38" s="740"/>
      <c r="BO38" s="740"/>
      <c r="BP38" s="740"/>
      <c r="BQ38" s="740"/>
      <c r="BR38" s="740"/>
      <c r="BS38" s="740"/>
      <c r="BT38" s="740"/>
      <c r="BU38" s="740"/>
      <c r="BV38" s="740"/>
      <c r="BW38" s="740"/>
      <c r="BX38" s="740"/>
      <c r="BY38" s="740"/>
      <c r="BZ38" s="740"/>
      <c r="CA38" s="740"/>
      <c r="CB38" s="740"/>
      <c r="CC38" s="740"/>
      <c r="CD38" s="740"/>
      <c r="CE38" s="740"/>
      <c r="CF38" s="740"/>
      <c r="CG38" s="740"/>
      <c r="CH38" s="740"/>
      <c r="CI38" s="740"/>
      <c r="CJ38" s="740"/>
      <c r="CK38" s="740"/>
      <c r="CL38" s="740"/>
      <c r="CM38" s="740"/>
      <c r="CN38" s="740"/>
      <c r="CO38" s="740"/>
      <c r="CP38" s="740"/>
      <c r="CQ38" s="740"/>
      <c r="CR38" s="740"/>
      <c r="CS38" s="740"/>
      <c r="CT38" s="740"/>
      <c r="CU38" s="740"/>
      <c r="CV38" s="740"/>
      <c r="CW38" s="740"/>
      <c r="CX38" s="740"/>
      <c r="CY38" s="740"/>
      <c r="CZ38" s="740"/>
      <c r="DA38" s="740"/>
      <c r="DB38" s="740"/>
      <c r="DC38" s="740"/>
      <c r="DD38" s="740"/>
      <c r="DE38" s="740"/>
      <c r="DF38" s="740"/>
      <c r="DG38" s="740"/>
      <c r="DH38" s="740"/>
      <c r="DI38" s="740"/>
      <c r="DJ38" s="740"/>
      <c r="DK38" s="740"/>
      <c r="DL38" s="740"/>
      <c r="DM38" s="740"/>
      <c r="DN38" s="740"/>
      <c r="DO38" s="740"/>
      <c r="DP38" s="740"/>
      <c r="DQ38" s="740"/>
      <c r="DR38" s="740"/>
      <c r="DS38" s="740"/>
      <c r="DT38" s="740"/>
      <c r="DU38" s="740"/>
      <c r="DV38" s="740"/>
      <c r="DW38" s="740"/>
      <c r="DX38" s="740"/>
      <c r="DY38" s="740"/>
      <c r="DZ38" s="740"/>
      <c r="EA38" s="740"/>
      <c r="EB38" s="740"/>
      <c r="EC38" s="740"/>
      <c r="ED38" s="740"/>
      <c r="EE38" s="740"/>
      <c r="EF38" s="740"/>
      <c r="EG38" s="740"/>
      <c r="EH38" s="740"/>
      <c r="EI38" s="740"/>
      <c r="EJ38" s="740"/>
      <c r="EK38" s="740"/>
      <c r="EL38" s="740"/>
      <c r="EM38" s="740"/>
      <c r="EN38" s="740"/>
      <c r="EO38" s="740"/>
      <c r="EP38" s="740"/>
      <c r="EQ38" s="740"/>
      <c r="ER38" s="740"/>
      <c r="ES38" s="740"/>
      <c r="ET38" s="740"/>
      <c r="EU38" s="740"/>
      <c r="EV38" s="740"/>
      <c r="EW38" s="740"/>
      <c r="EX38" s="740"/>
      <c r="EY38" s="740"/>
      <c r="EZ38" s="740"/>
      <c r="FA38" s="740"/>
      <c r="FB38" s="740"/>
      <c r="FC38" s="740"/>
      <c r="FD38" s="740"/>
      <c r="FE38" s="740"/>
      <c r="FF38" s="740"/>
      <c r="FG38" s="740"/>
      <c r="FH38" s="740"/>
      <c r="FI38" s="740"/>
      <c r="FJ38" s="740"/>
      <c r="FK38" s="740"/>
      <c r="FL38" s="740"/>
      <c r="FM38" s="740"/>
      <c r="FN38" s="740"/>
      <c r="FO38" s="740"/>
      <c r="FP38" s="740"/>
      <c r="FQ38" s="740"/>
      <c r="FR38" s="740"/>
      <c r="FS38" s="740"/>
      <c r="FT38" s="740"/>
      <c r="FU38" s="740"/>
      <c r="FV38" s="740"/>
      <c r="FW38" s="740"/>
      <c r="FX38" s="740"/>
      <c r="FY38" s="740"/>
      <c r="FZ38" s="740"/>
      <c r="GA38" s="740"/>
      <c r="GB38" s="740"/>
      <c r="GC38" s="740"/>
      <c r="GD38" s="740"/>
      <c r="GE38" s="740"/>
      <c r="GF38" s="740"/>
      <c r="GG38" s="740"/>
      <c r="GH38" s="740"/>
      <c r="GI38" s="740"/>
      <c r="GJ38" s="740"/>
      <c r="GK38" s="740"/>
      <c r="GL38" s="740"/>
      <c r="GM38" s="740"/>
      <c r="GN38" s="740"/>
      <c r="GO38" s="740"/>
      <c r="GP38" s="740"/>
      <c r="GQ38" s="740"/>
      <c r="GR38" s="740"/>
      <c r="GS38" s="740"/>
      <c r="GT38" s="740"/>
      <c r="GU38" s="740"/>
      <c r="GV38" s="740"/>
      <c r="GW38" s="740"/>
    </row>
    <row r="39" spans="1:205" s="758" customFormat="1" ht="24.6" customHeight="1" x14ac:dyDescent="0.25">
      <c r="A39" s="2503"/>
      <c r="B39" s="739"/>
      <c r="C39" s="2358"/>
      <c r="D39" s="2369" t="s">
        <v>494</v>
      </c>
      <c r="E39" s="2313" t="s">
        <v>45</v>
      </c>
      <c r="F39" s="2279"/>
      <c r="G39" s="2370"/>
      <c r="H39" s="2357"/>
      <c r="I39" s="2350"/>
      <c r="J39" s="2350"/>
      <c r="K39" s="2362" t="s">
        <v>46</v>
      </c>
      <c r="L39" s="2371">
        <v>3200</v>
      </c>
      <c r="M39" s="2286"/>
      <c r="N39" s="2372">
        <v>2700</v>
      </c>
      <c r="O39" s="2287"/>
      <c r="P39" s="2372">
        <v>2400</v>
      </c>
      <c r="Q39" s="2288"/>
      <c r="R39" s="2503"/>
      <c r="U39" s="740"/>
      <c r="V39" s="740"/>
      <c r="W39" s="740"/>
      <c r="Y39" s="740"/>
      <c r="Z39" s="777">
        <f>P41+P44+P47</f>
        <v>100</v>
      </c>
      <c r="AA39" s="765"/>
      <c r="AB39" s="778">
        <f>N41+N44+N47</f>
        <v>100</v>
      </c>
      <c r="AC39" s="765"/>
      <c r="AD39" s="778">
        <f>L41+L44+L47</f>
        <v>100</v>
      </c>
      <c r="AE39" s="779"/>
      <c r="AF39" s="740"/>
      <c r="AG39" s="772" t="s">
        <v>500</v>
      </c>
      <c r="AH39" s="740"/>
      <c r="AI39" s="740"/>
      <c r="AJ39" s="740"/>
      <c r="AK39" s="740"/>
      <c r="AL39" s="740"/>
      <c r="AM39" s="740"/>
      <c r="AN39" s="740"/>
      <c r="AO39" s="740"/>
      <c r="AP39" s="740"/>
      <c r="AR39" s="1331" t="s">
        <v>417</v>
      </c>
      <c r="AS39" s="1318"/>
      <c r="AT39" s="1318"/>
      <c r="AU39" s="1323">
        <f>Preise!$N$53</f>
        <v>14.98</v>
      </c>
      <c r="AV39" s="1318" t="s">
        <v>1013</v>
      </c>
      <c r="AW39" s="1318"/>
      <c r="AX39" s="1309"/>
      <c r="AY39" s="1307">
        <f>H152*AX39</f>
        <v>0</v>
      </c>
      <c r="AZ39" s="717"/>
      <c r="BA39" s="716">
        <f>H152*AZ39</f>
        <v>0</v>
      </c>
      <c r="BB39" s="1309"/>
      <c r="BC39" s="1307">
        <f>H152*BB39</f>
        <v>0</v>
      </c>
      <c r="BD39" s="717"/>
      <c r="BE39" s="716">
        <f>H152*BD39</f>
        <v>0</v>
      </c>
      <c r="BF39" s="759"/>
      <c r="BG39" s="713"/>
      <c r="BH39" s="715">
        <f>AX39*BG39</f>
        <v>0</v>
      </c>
      <c r="BI39" s="759"/>
      <c r="BJ39" s="740"/>
      <c r="BK39" s="2523" t="s">
        <v>593</v>
      </c>
      <c r="BL39" s="2523" t="s">
        <v>179</v>
      </c>
      <c r="BM39" s="2523"/>
      <c r="BN39" s="2523"/>
      <c r="BO39" s="2995"/>
      <c r="BP39" s="2997" t="s">
        <v>346</v>
      </c>
      <c r="BQ39" s="2997" t="s">
        <v>346</v>
      </c>
      <c r="BR39" s="2997" t="s">
        <v>346</v>
      </c>
      <c r="BS39" s="2996" t="s">
        <v>1301</v>
      </c>
      <c r="BT39" s="2996" t="s">
        <v>1301</v>
      </c>
      <c r="BU39" s="2996" t="s">
        <v>1301</v>
      </c>
      <c r="BV39" s="740" t="s">
        <v>866</v>
      </c>
      <c r="BW39" s="740"/>
      <c r="BX39" s="740"/>
      <c r="BY39" s="740"/>
      <c r="BZ39" s="740"/>
      <c r="CA39" s="740"/>
      <c r="CB39" s="740"/>
      <c r="CC39" s="740"/>
      <c r="CD39" s="740"/>
      <c r="CE39" s="740"/>
      <c r="CF39" s="740"/>
      <c r="CG39" s="740"/>
      <c r="CH39" s="740"/>
      <c r="CI39" s="740"/>
      <c r="CJ39" s="740"/>
      <c r="CK39" s="740"/>
      <c r="CL39" s="740"/>
      <c r="CM39" s="740"/>
      <c r="CN39" s="740"/>
      <c r="CO39" s="740"/>
      <c r="CP39" s="740"/>
      <c r="CQ39" s="740"/>
      <c r="CR39" s="740"/>
      <c r="CS39" s="740"/>
      <c r="CT39" s="740"/>
      <c r="CU39" s="740"/>
      <c r="CV39" s="740"/>
      <c r="CW39" s="740"/>
      <c r="CX39" s="740"/>
      <c r="CY39" s="740"/>
      <c r="CZ39" s="740"/>
      <c r="DA39" s="740"/>
      <c r="DB39" s="740"/>
      <c r="DC39" s="740"/>
      <c r="DD39" s="740"/>
      <c r="DE39" s="740"/>
      <c r="DF39" s="740"/>
      <c r="DG39" s="740"/>
      <c r="DH39" s="740"/>
      <c r="DI39" s="740"/>
      <c r="DJ39" s="740"/>
      <c r="DK39" s="740"/>
      <c r="DL39" s="740"/>
      <c r="DM39" s="740"/>
      <c r="DN39" s="740"/>
      <c r="DO39" s="740"/>
      <c r="DP39" s="740"/>
      <c r="DQ39" s="740"/>
      <c r="DR39" s="740"/>
      <c r="DS39" s="740"/>
      <c r="DT39" s="740"/>
      <c r="DU39" s="740"/>
      <c r="DV39" s="740"/>
      <c r="DW39" s="740"/>
      <c r="DX39" s="740"/>
      <c r="DY39" s="740"/>
      <c r="DZ39" s="740"/>
      <c r="EA39" s="740"/>
      <c r="EB39" s="740"/>
      <c r="EC39" s="740"/>
      <c r="ED39" s="740"/>
      <c r="EE39" s="740"/>
      <c r="EF39" s="740"/>
      <c r="EG39" s="740"/>
      <c r="EH39" s="740"/>
      <c r="EI39" s="740"/>
      <c r="EJ39" s="740"/>
      <c r="EK39" s="740"/>
      <c r="EL39" s="740"/>
      <c r="EM39" s="740"/>
      <c r="EN39" s="740"/>
      <c r="EO39" s="740"/>
      <c r="EP39" s="740"/>
      <c r="EQ39" s="740"/>
      <c r="ER39" s="740"/>
      <c r="ES39" s="740"/>
      <c r="ET39" s="740"/>
      <c r="EU39" s="740"/>
      <c r="EV39" s="740"/>
      <c r="EW39" s="740"/>
      <c r="EX39" s="740"/>
      <c r="EY39" s="740"/>
      <c r="EZ39" s="740"/>
      <c r="FA39" s="740"/>
      <c r="FB39" s="740"/>
      <c r="FC39" s="740"/>
      <c r="FD39" s="740"/>
      <c r="FE39" s="740"/>
      <c r="FF39" s="740"/>
      <c r="FG39" s="740"/>
      <c r="FH39" s="740"/>
      <c r="FI39" s="740"/>
      <c r="FJ39" s="740"/>
      <c r="FK39" s="740"/>
      <c r="FL39" s="740"/>
      <c r="FM39" s="740"/>
      <c r="FN39" s="740"/>
      <c r="FO39" s="740"/>
      <c r="FP39" s="740"/>
      <c r="FQ39" s="740"/>
      <c r="FR39" s="740"/>
      <c r="FS39" s="740"/>
      <c r="FT39" s="740"/>
      <c r="FU39" s="740"/>
      <c r="FV39" s="740"/>
      <c r="FW39" s="740"/>
      <c r="FX39" s="740"/>
      <c r="FY39" s="740"/>
      <c r="FZ39" s="740"/>
      <c r="GA39" s="740"/>
      <c r="GB39" s="740"/>
      <c r="GC39" s="740"/>
      <c r="GD39" s="740"/>
      <c r="GE39" s="740"/>
      <c r="GF39" s="740"/>
      <c r="GG39" s="740"/>
      <c r="GH39" s="740"/>
      <c r="GI39" s="740"/>
      <c r="GJ39" s="740"/>
      <c r="GK39" s="740"/>
      <c r="GL39" s="740"/>
      <c r="GM39" s="740"/>
      <c r="GN39" s="740"/>
      <c r="GO39" s="740"/>
      <c r="GP39" s="740"/>
      <c r="GQ39" s="740"/>
      <c r="GR39" s="740"/>
      <c r="GS39" s="740"/>
      <c r="GT39" s="740"/>
      <c r="GU39" s="740"/>
      <c r="GV39" s="740"/>
      <c r="GW39" s="740"/>
    </row>
    <row r="40" spans="1:205" s="758" customFormat="1" ht="14.45" customHeight="1" x14ac:dyDescent="0.25">
      <c r="A40" s="2503"/>
      <c r="B40" s="739"/>
      <c r="C40" s="2358"/>
      <c r="D40" s="2369"/>
      <c r="E40" s="2313"/>
      <c r="F40" s="2279"/>
      <c r="G40" s="2370"/>
      <c r="H40" s="2357"/>
      <c r="I40" s="2350"/>
      <c r="J40" s="2350"/>
      <c r="K40" s="2362"/>
      <c r="L40" s="2373"/>
      <c r="M40" s="2286"/>
      <c r="N40" s="2374"/>
      <c r="O40" s="2287"/>
      <c r="P40" s="2374"/>
      <c r="Q40" s="2288"/>
      <c r="R40" s="2503"/>
      <c r="U40" s="740"/>
      <c r="V40" s="740"/>
      <c r="W40" s="740"/>
      <c r="X40" t="s">
        <v>109</v>
      </c>
      <c r="Y40"/>
      <c r="Z40"/>
      <c r="AA40" s="241"/>
      <c r="AB40" s="241"/>
      <c r="AC40" s="241"/>
      <c r="AD40" t="s">
        <v>111</v>
      </c>
      <c r="AE40" s="241"/>
      <c r="AF40" s="241"/>
      <c r="AG40" s="241"/>
      <c r="AH40" s="241"/>
      <c r="AI40" s="740"/>
      <c r="AJ40" s="740"/>
      <c r="AK40" s="740"/>
      <c r="AL40" s="740"/>
      <c r="AM40" s="740"/>
      <c r="AN40" s="740"/>
      <c r="AO40" s="740"/>
      <c r="AP40" s="740"/>
      <c r="AR40" s="385"/>
      <c r="AS40" s="611"/>
      <c r="AT40" s="611"/>
      <c r="AU40" s="611"/>
      <c r="AV40" s="611"/>
      <c r="AW40" s="611"/>
      <c r="AX40" s="1309"/>
      <c r="AY40" s="1307"/>
      <c r="AZ40" s="717"/>
      <c r="BA40" s="716"/>
      <c r="BB40" s="1309"/>
      <c r="BC40" s="1307"/>
      <c r="BD40" s="717"/>
      <c r="BE40" s="716"/>
      <c r="BF40" s="759"/>
      <c r="BG40" s="713"/>
      <c r="BH40" s="715"/>
      <c r="BI40" s="759"/>
      <c r="BJ40" s="740"/>
      <c r="BK40" s="2523"/>
      <c r="BL40" s="2523"/>
      <c r="BM40" s="241"/>
      <c r="BN40" s="241"/>
      <c r="BO40" s="241"/>
      <c r="BP40" s="117"/>
      <c r="BQ40" s="119"/>
      <c r="BR40" s="2994"/>
      <c r="BS40" s="241"/>
      <c r="BT40" s="241"/>
      <c r="BU40" s="241"/>
      <c r="BV40" s="740"/>
      <c r="BW40" s="740"/>
      <c r="BX40" s="740"/>
      <c r="BY40" s="740"/>
      <c r="BZ40" s="740"/>
      <c r="CA40" s="740"/>
      <c r="CB40" s="740"/>
      <c r="CC40" s="740"/>
      <c r="CD40" s="740"/>
      <c r="CE40" s="740"/>
      <c r="CF40" s="740"/>
      <c r="CG40" s="740"/>
      <c r="CH40" s="740"/>
      <c r="CI40" s="740"/>
      <c r="CJ40" s="740"/>
      <c r="CK40" s="740"/>
      <c r="CL40" s="740"/>
      <c r="CM40" s="740"/>
      <c r="CN40" s="740"/>
      <c r="CO40" s="740"/>
      <c r="CP40" s="740"/>
      <c r="CQ40" s="740"/>
      <c r="CR40" s="740"/>
      <c r="CS40" s="740"/>
      <c r="CT40" s="740"/>
      <c r="CU40" s="740"/>
      <c r="CV40" s="740"/>
      <c r="CW40" s="740"/>
      <c r="CX40" s="740"/>
      <c r="CY40" s="740"/>
      <c r="CZ40" s="740"/>
      <c r="DA40" s="740"/>
      <c r="DB40" s="740"/>
      <c r="DC40" s="740"/>
      <c r="DD40" s="740"/>
      <c r="DE40" s="740"/>
      <c r="DF40" s="740"/>
      <c r="DG40" s="740"/>
      <c r="DH40" s="740"/>
      <c r="DI40" s="740"/>
      <c r="DJ40" s="740"/>
      <c r="DK40" s="740"/>
      <c r="DL40" s="740"/>
      <c r="DM40" s="740"/>
      <c r="DN40" s="740"/>
      <c r="DO40" s="740"/>
      <c r="DP40" s="740"/>
      <c r="DQ40" s="740"/>
      <c r="DR40" s="740"/>
      <c r="DS40" s="740"/>
      <c r="DT40" s="740"/>
      <c r="DU40" s="740"/>
      <c r="DV40" s="740"/>
      <c r="DW40" s="740"/>
      <c r="DX40" s="740"/>
      <c r="DY40" s="740"/>
      <c r="DZ40" s="740"/>
      <c r="EA40" s="740"/>
      <c r="EB40" s="740"/>
      <c r="EC40" s="740"/>
      <c r="ED40" s="740"/>
      <c r="EE40" s="740"/>
      <c r="EF40" s="740"/>
      <c r="EG40" s="740"/>
      <c r="EH40" s="740"/>
      <c r="EI40" s="740"/>
      <c r="EJ40" s="740"/>
      <c r="EK40" s="740"/>
      <c r="EL40" s="740"/>
      <c r="EM40" s="740"/>
      <c r="EN40" s="740"/>
      <c r="EO40" s="740"/>
      <c r="EP40" s="740"/>
      <c r="EQ40" s="740"/>
      <c r="ER40" s="740"/>
      <c r="ES40" s="740"/>
      <c r="ET40" s="740"/>
      <c r="EU40" s="740"/>
      <c r="EV40" s="740"/>
      <c r="EW40" s="740"/>
      <c r="EX40" s="740"/>
      <c r="EY40" s="740"/>
      <c r="EZ40" s="740"/>
      <c r="FA40" s="740"/>
      <c r="FB40" s="740"/>
      <c r="FC40" s="740"/>
      <c r="FD40" s="740"/>
      <c r="FE40" s="740"/>
      <c r="FF40" s="740"/>
      <c r="FG40" s="740"/>
      <c r="FH40" s="740"/>
      <c r="FI40" s="740"/>
      <c r="FJ40" s="740"/>
      <c r="FK40" s="740"/>
      <c r="FL40" s="740"/>
      <c r="FM40" s="740"/>
      <c r="FN40" s="740"/>
      <c r="FO40" s="740"/>
      <c r="FP40" s="740"/>
      <c r="FQ40" s="740"/>
      <c r="FR40" s="740"/>
      <c r="FS40" s="740"/>
      <c r="FT40" s="740"/>
      <c r="FU40" s="740"/>
      <c r="FV40" s="740"/>
      <c r="FW40" s="740"/>
      <c r="FX40" s="740"/>
      <c r="FY40" s="740"/>
      <c r="FZ40" s="740"/>
      <c r="GA40" s="740"/>
      <c r="GB40" s="740"/>
      <c r="GC40" s="740"/>
      <c r="GD40" s="740"/>
      <c r="GE40" s="740"/>
      <c r="GF40" s="740"/>
      <c r="GG40" s="740"/>
      <c r="GH40" s="740"/>
      <c r="GI40" s="740"/>
      <c r="GJ40" s="740"/>
      <c r="GK40" s="740"/>
      <c r="GL40" s="740"/>
      <c r="GM40" s="740"/>
      <c r="GN40" s="740"/>
      <c r="GO40" s="740"/>
      <c r="GP40" s="740"/>
      <c r="GQ40" s="740"/>
      <c r="GR40" s="740"/>
      <c r="GS40" s="740"/>
      <c r="GT40" s="740"/>
      <c r="GU40" s="740"/>
      <c r="GV40" s="740"/>
      <c r="GW40" s="740"/>
    </row>
    <row r="41" spans="1:205" s="758" customFormat="1" ht="18" customHeight="1" x14ac:dyDescent="0.25">
      <c r="A41" s="2503"/>
      <c r="B41" s="739"/>
      <c r="C41" s="2540"/>
      <c r="D41" s="2424" t="str">
        <f>VLOOKUP(S41,Preise!$C$62:$E$68,2,FALSE)</f>
        <v>Silomais</v>
      </c>
      <c r="E41" s="2525"/>
      <c r="F41" s="2303"/>
      <c r="G41" s="2375"/>
      <c r="H41" s="2376"/>
      <c r="I41" s="960"/>
      <c r="J41" s="2539" t="s">
        <v>516</v>
      </c>
      <c r="K41" s="2377" t="s">
        <v>961</v>
      </c>
      <c r="L41" s="2378"/>
      <c r="M41" s="2379">
        <f>IF(L41&lt;100.1,0,"Fehler!")</f>
        <v>0</v>
      </c>
      <c r="N41" s="2380">
        <v>20</v>
      </c>
      <c r="O41" s="2381">
        <f>IF(N41&lt;100.1,0,"Fehler!")</f>
        <v>0</v>
      </c>
      <c r="P41" s="2382">
        <v>40</v>
      </c>
      <c r="Q41" s="2383">
        <f>IF(P41&lt;100.1,0,"Fehler!")</f>
        <v>0</v>
      </c>
      <c r="R41" s="2503"/>
      <c r="S41" s="2523">
        <v>7</v>
      </c>
      <c r="T41" s="2523" t="str">
        <f>VLOOKUP($S$41,Preise!$C$62:$N$68,2,FALSE)</f>
        <v>Silomais</v>
      </c>
      <c r="U41" t="s">
        <v>518</v>
      </c>
      <c r="V41" s="740"/>
      <c r="W41" s="740"/>
      <c r="X41" s="2523">
        <f t="shared" ref="X41:X48" si="1">IF(OR($S41=2,$S41=4,$S41=5,$S41=6),L41,0)</f>
        <v>0</v>
      </c>
      <c r="Y41" s="241"/>
      <c r="Z41" s="2523">
        <f t="shared" ref="Z41:Z48" si="2">IF(OR($S41=2,$S41=4,$S41=5,$S41=6),N41,0)</f>
        <v>0</v>
      </c>
      <c r="AA41" s="241"/>
      <c r="AB41" s="2523">
        <f t="shared" ref="AB41:AB48" si="3">IF(OR($S41=2,$S41=4,$S41=5,$S41=6),P41,0)</f>
        <v>0</v>
      </c>
      <c r="AC41" s="241"/>
      <c r="AD41" s="2523">
        <f t="shared" ref="AD41:AD48" si="4">IF(OR($S41=4,$S41=5),L41,0)</f>
        <v>0</v>
      </c>
      <c r="AE41" s="241"/>
      <c r="AF41" s="2523">
        <f t="shared" ref="AF41:AF48" si="5">IF(OR($S41=4,$S41=5),N41,0)</f>
        <v>0</v>
      </c>
      <c r="AG41" s="241">
        <f t="shared" ref="AG41:AG49" si="6">IF(OR($S41=4,$S41=5),O41,0)</f>
        <v>0</v>
      </c>
      <c r="AH41" s="2523">
        <f t="shared" ref="AH41:AH48" si="7">IF(OR($S41=4,$S41=5),P41,0)</f>
        <v>0</v>
      </c>
      <c r="AI41" s="740"/>
      <c r="AJ41" s="740"/>
      <c r="AK41" s="740"/>
      <c r="AL41" s="740"/>
      <c r="AM41" s="740"/>
      <c r="AN41" s="740"/>
      <c r="AO41" s="740"/>
      <c r="AP41" s="740"/>
      <c r="AR41" s="1330" t="s">
        <v>418</v>
      </c>
      <c r="AS41" s="28"/>
      <c r="AT41" s="28"/>
      <c r="AU41" s="28"/>
      <c r="AV41" s="28"/>
      <c r="AW41" s="28"/>
      <c r="AX41" s="1309"/>
      <c r="AY41" s="1307"/>
      <c r="AZ41" s="717"/>
      <c r="BA41" s="716"/>
      <c r="BB41" s="1309"/>
      <c r="BC41" s="1307"/>
      <c r="BD41" s="717"/>
      <c r="BE41" s="716"/>
      <c r="BF41" s="759"/>
      <c r="BG41" s="713"/>
      <c r="BH41" s="715"/>
      <c r="BI41" s="740"/>
      <c r="BJ41" s="740"/>
      <c r="BK41" s="2523">
        <f>VLOOKUP($S$41,Preise!$C$62:$U$69,Preise!$T$60,FALSE)</f>
        <v>7385</v>
      </c>
      <c r="BL41" s="2523">
        <f>VLOOKUP($S$41,Preise!$C$62:$U$69,Preise!$U$60,FALSE)</f>
        <v>15.1</v>
      </c>
      <c r="BM41" s="2523"/>
      <c r="BN41" s="2523"/>
      <c r="BO41" s="2995"/>
      <c r="BP41" s="2997">
        <f>L42/BK41</f>
        <v>0</v>
      </c>
      <c r="BQ41" s="2997">
        <f>N42/BK41</f>
        <v>7.3121191604603925E-2</v>
      </c>
      <c r="BR41" s="2997">
        <f>P42/BK41</f>
        <v>0.12999322951929587</v>
      </c>
      <c r="BS41" s="2996">
        <f>BP41*BL41</f>
        <v>0</v>
      </c>
      <c r="BT41" s="2523">
        <f>BQ41*$BL41</f>
        <v>1.1041299932295192</v>
      </c>
      <c r="BU41" s="2523">
        <f>BR41*$BL41</f>
        <v>1.9628977657413675</v>
      </c>
      <c r="BV41" s="740"/>
      <c r="BW41" s="2523">
        <f>M43</f>
        <v>0</v>
      </c>
      <c r="BX41" s="2523">
        <f>O43</f>
        <v>86.67</v>
      </c>
      <c r="BY41" s="2523">
        <f>Q43</f>
        <v>154.08000000000001</v>
      </c>
      <c r="BZ41" s="740"/>
      <c r="CA41" s="740"/>
      <c r="CB41" s="740"/>
      <c r="CC41" s="740"/>
      <c r="CD41" s="740"/>
      <c r="CE41" s="740"/>
      <c r="CF41" s="740"/>
      <c r="CG41" s="740"/>
      <c r="CH41" s="740"/>
      <c r="CI41" s="740"/>
      <c r="CJ41" s="740"/>
      <c r="CK41" s="740"/>
      <c r="CL41" s="740"/>
      <c r="CM41" s="740"/>
      <c r="CN41" s="740"/>
      <c r="CO41" s="740"/>
      <c r="CP41" s="740"/>
      <c r="CQ41" s="740"/>
      <c r="CR41" s="740"/>
      <c r="CS41" s="740"/>
      <c r="CT41" s="740"/>
      <c r="CU41" s="740"/>
      <c r="CV41" s="740"/>
      <c r="CW41" s="740"/>
      <c r="CX41" s="740"/>
      <c r="CY41" s="740"/>
      <c r="CZ41" s="740"/>
      <c r="DA41" s="740"/>
      <c r="DB41" s="740"/>
      <c r="DC41" s="740"/>
      <c r="DD41" s="740"/>
      <c r="DE41" s="740"/>
      <c r="DF41" s="740"/>
      <c r="DG41" s="740"/>
      <c r="DH41" s="740"/>
      <c r="DI41" s="740"/>
      <c r="DJ41" s="740"/>
      <c r="DK41" s="740"/>
      <c r="DL41" s="740"/>
      <c r="DM41" s="740"/>
      <c r="DN41" s="740"/>
      <c r="DO41" s="740"/>
      <c r="DP41" s="740"/>
      <c r="DQ41" s="740"/>
      <c r="DR41" s="740"/>
      <c r="DS41" s="740"/>
      <c r="DT41" s="740"/>
      <c r="DU41" s="740"/>
      <c r="DV41" s="740"/>
      <c r="DW41" s="740"/>
      <c r="DX41" s="740"/>
      <c r="DY41" s="740"/>
      <c r="DZ41" s="740"/>
      <c r="EA41" s="740"/>
      <c r="EB41" s="740"/>
      <c r="EC41" s="740"/>
      <c r="ED41" s="740"/>
      <c r="EE41" s="740"/>
      <c r="EF41" s="740"/>
      <c r="EG41" s="740"/>
      <c r="EH41" s="740"/>
      <c r="EI41" s="740"/>
      <c r="EJ41" s="740"/>
      <c r="EK41" s="740"/>
      <c r="EL41" s="740"/>
      <c r="EM41" s="740"/>
      <c r="EN41" s="740"/>
      <c r="EO41" s="740"/>
      <c r="EP41" s="740"/>
      <c r="EQ41" s="740"/>
      <c r="ER41" s="740"/>
      <c r="ES41" s="740"/>
      <c r="ET41" s="740"/>
      <c r="EU41" s="740"/>
      <c r="EV41" s="740"/>
      <c r="EW41" s="740"/>
      <c r="EX41" s="740"/>
      <c r="EY41" s="740"/>
      <c r="EZ41" s="740"/>
      <c r="FA41" s="740"/>
      <c r="FB41" s="740"/>
      <c r="FC41" s="740"/>
      <c r="FD41" s="740"/>
      <c r="FE41" s="740"/>
      <c r="FF41" s="740"/>
      <c r="FG41" s="740"/>
      <c r="FH41" s="740"/>
      <c r="FI41" s="740"/>
      <c r="FJ41" s="740"/>
      <c r="FK41" s="740"/>
      <c r="FL41" s="740"/>
      <c r="FM41" s="740"/>
      <c r="FN41" s="740"/>
      <c r="FO41" s="740"/>
      <c r="FP41" s="740"/>
      <c r="FQ41" s="740"/>
      <c r="FR41" s="740"/>
      <c r="FS41" s="740"/>
      <c r="FT41" s="740"/>
      <c r="FU41" s="740"/>
      <c r="FV41" s="740"/>
      <c r="FW41" s="740"/>
      <c r="FX41" s="740"/>
      <c r="FY41" s="740"/>
      <c r="FZ41" s="740"/>
      <c r="GA41" s="740"/>
      <c r="GB41" s="740"/>
      <c r="GC41" s="740"/>
      <c r="GD41" s="740"/>
      <c r="GE41" s="740"/>
      <c r="GF41" s="740"/>
      <c r="GG41" s="740"/>
      <c r="GH41" s="740"/>
      <c r="GI41" s="740"/>
      <c r="GJ41" s="740"/>
      <c r="GK41" s="740"/>
      <c r="GL41" s="740"/>
      <c r="GM41" s="740"/>
      <c r="GN41" s="740"/>
      <c r="GO41" s="740"/>
      <c r="GP41" s="740"/>
      <c r="GQ41" s="740"/>
      <c r="GR41" s="740"/>
      <c r="GS41" s="740"/>
      <c r="GT41" s="740"/>
      <c r="GU41" s="740"/>
      <c r="GV41" s="740"/>
      <c r="GW41" s="740"/>
    </row>
    <row r="42" spans="1:205" s="758" customFormat="1" ht="18" customHeight="1" x14ac:dyDescent="0.2">
      <c r="A42" s="2503"/>
      <c r="B42" s="739"/>
      <c r="C42" s="2358"/>
      <c r="D42" s="2676" t="str">
        <f>"(--&gt;" &amp;S42&amp; "€/10 MJNEL)"</f>
        <v>(--&gt;0,3745€/10 MJNEL)</v>
      </c>
      <c r="F42" s="2279"/>
      <c r="G42" s="2370"/>
      <c r="H42" s="1318" t="s">
        <v>861</v>
      </c>
      <c r="I42" s="2350"/>
      <c r="J42" s="2350"/>
      <c r="K42" s="1382" t="s">
        <v>143</v>
      </c>
      <c r="L42" s="2385">
        <f>L39*L41/100</f>
        <v>0</v>
      </c>
      <c r="M42" s="2386">
        <f>L42*$S$42</f>
        <v>0</v>
      </c>
      <c r="N42" s="2387">
        <f>N39*N41/100</f>
        <v>540</v>
      </c>
      <c r="O42" s="2494">
        <f>N42*$S$42</f>
        <v>202.23</v>
      </c>
      <c r="P42" s="2388">
        <f>P39*P41/100</f>
        <v>960</v>
      </c>
      <c r="Q42" s="2389">
        <f>P42*$S$42</f>
        <v>359.52</v>
      </c>
      <c r="R42" s="2503"/>
      <c r="S42" s="2523">
        <f>VLOOKUP($S$41,Preise!$C$62:$N$69,12,FALSE)</f>
        <v>0.3745</v>
      </c>
      <c r="T42" s="2523" t="s">
        <v>517</v>
      </c>
      <c r="U42" t="s">
        <v>519</v>
      </c>
      <c r="V42" s="740"/>
      <c r="W42" s="740"/>
      <c r="X42" s="2523">
        <f t="shared" si="1"/>
        <v>0</v>
      </c>
      <c r="Y42" s="241"/>
      <c r="Z42" s="2523">
        <f t="shared" si="2"/>
        <v>0</v>
      </c>
      <c r="AA42" s="241"/>
      <c r="AB42" s="2523">
        <f t="shared" si="3"/>
        <v>0</v>
      </c>
      <c r="AC42" s="241"/>
      <c r="AD42" s="2523">
        <f t="shared" si="4"/>
        <v>0</v>
      </c>
      <c r="AE42" s="241"/>
      <c r="AF42" s="2523">
        <f t="shared" si="5"/>
        <v>0</v>
      </c>
      <c r="AG42" s="241">
        <f t="shared" si="6"/>
        <v>0</v>
      </c>
      <c r="AH42" s="2523">
        <f t="shared" si="7"/>
        <v>0</v>
      </c>
      <c r="AI42" s="740"/>
      <c r="AJ42" s="740"/>
      <c r="AK42" s="740"/>
      <c r="AL42" s="740"/>
      <c r="AM42" s="740"/>
      <c r="AN42" s="740"/>
      <c r="AO42" s="740"/>
      <c r="AP42" s="740"/>
      <c r="AR42" s="1333" t="s">
        <v>419</v>
      </c>
      <c r="AS42" s="1319"/>
      <c r="AT42" s="1319"/>
      <c r="AU42" s="1319"/>
      <c r="AV42" s="1319"/>
      <c r="AW42" s="1319"/>
      <c r="AX42" s="1309"/>
      <c r="AY42" s="1310">
        <v>7.6693782179432777</v>
      </c>
      <c r="AZ42" s="717"/>
      <c r="BA42" s="1297">
        <v>7.6693782179432777</v>
      </c>
      <c r="BB42" s="1309"/>
      <c r="BC42" s="1315">
        <v>16</v>
      </c>
      <c r="BD42" s="717"/>
      <c r="BE42" s="1298">
        <f>Q154+BA42</f>
        <v>15.338756435886559</v>
      </c>
      <c r="BF42" s="759"/>
      <c r="BG42" s="713"/>
      <c r="BH42" s="718">
        <v>10.22583762392437</v>
      </c>
      <c r="BI42" s="740"/>
      <c r="BJ42" s="740"/>
      <c r="BK42" s="2523"/>
      <c r="BL42" s="2523"/>
      <c r="BM42" s="241"/>
      <c r="BN42" s="241"/>
      <c r="BO42" s="241"/>
      <c r="BP42" s="117"/>
      <c r="BQ42" s="119"/>
      <c r="BR42" s="2994"/>
      <c r="BS42" s="241"/>
      <c r="BT42" s="241"/>
      <c r="BU42" s="241"/>
      <c r="BV42" s="740"/>
      <c r="BW42" s="740"/>
      <c r="BX42" s="740"/>
      <c r="BY42" s="740"/>
      <c r="BZ42" s="740"/>
      <c r="CA42" s="740"/>
      <c r="CB42" s="740"/>
      <c r="CC42" s="740"/>
      <c r="CD42" s="740"/>
      <c r="CE42" s="740"/>
      <c r="CF42" s="740"/>
      <c r="CG42" s="740"/>
      <c r="CH42" s="740"/>
      <c r="CI42" s="740"/>
      <c r="CJ42" s="740"/>
      <c r="CK42" s="740"/>
      <c r="CL42" s="740"/>
      <c r="CM42" s="740"/>
      <c r="CN42" s="740"/>
      <c r="CO42" s="740"/>
      <c r="CP42" s="740"/>
      <c r="CQ42" s="740"/>
      <c r="CR42" s="740"/>
      <c r="CS42" s="740"/>
      <c r="CT42" s="740"/>
      <c r="CU42" s="740"/>
      <c r="CV42" s="740"/>
      <c r="CW42" s="740"/>
      <c r="CX42" s="740"/>
      <c r="CY42" s="740"/>
      <c r="CZ42" s="740"/>
      <c r="DA42" s="740"/>
      <c r="DB42" s="740"/>
      <c r="DC42" s="740"/>
      <c r="DD42" s="740"/>
      <c r="DE42" s="740"/>
      <c r="DF42" s="740"/>
      <c r="DG42" s="740"/>
      <c r="DH42" s="740"/>
      <c r="DI42" s="740"/>
      <c r="DJ42" s="740"/>
      <c r="DK42" s="740"/>
      <c r="DL42" s="740"/>
      <c r="DM42" s="740"/>
      <c r="DN42" s="740"/>
      <c r="DO42" s="740"/>
      <c r="DP42" s="740"/>
      <c r="DQ42" s="740"/>
      <c r="DR42" s="740"/>
      <c r="DS42" s="740"/>
      <c r="DT42" s="740"/>
      <c r="DU42" s="740"/>
      <c r="DV42" s="740"/>
      <c r="DW42" s="740"/>
      <c r="DX42" s="740"/>
      <c r="DY42" s="740"/>
      <c r="DZ42" s="740"/>
      <c r="EA42" s="740"/>
      <c r="EB42" s="740"/>
      <c r="EC42" s="740"/>
      <c r="ED42" s="740"/>
      <c r="EE42" s="740"/>
      <c r="EF42" s="740"/>
      <c r="EG42" s="740"/>
      <c r="EH42" s="740"/>
      <c r="EI42" s="740"/>
      <c r="EJ42" s="740"/>
      <c r="EK42" s="740"/>
      <c r="EL42" s="740"/>
      <c r="EM42" s="740"/>
      <c r="EN42" s="740"/>
      <c r="EO42" s="740"/>
      <c r="EP42" s="740"/>
      <c r="EQ42" s="740"/>
      <c r="ER42" s="740"/>
      <c r="ES42" s="740"/>
      <c r="ET42" s="740"/>
      <c r="EU42" s="740"/>
      <c r="EV42" s="740"/>
      <c r="EW42" s="740"/>
      <c r="EX42" s="740"/>
      <c r="EY42" s="740"/>
      <c r="EZ42" s="740"/>
      <c r="FA42" s="740"/>
      <c r="FB42" s="740"/>
      <c r="FC42" s="740"/>
      <c r="FD42" s="740"/>
      <c r="FE42" s="740"/>
      <c r="FF42" s="740"/>
      <c r="FG42" s="740"/>
      <c r="FH42" s="740"/>
      <c r="FI42" s="740"/>
      <c r="FJ42" s="740"/>
      <c r="FK42" s="740"/>
      <c r="FL42" s="740"/>
      <c r="FM42" s="740"/>
      <c r="FN42" s="740"/>
      <c r="FO42" s="740"/>
      <c r="FP42" s="740"/>
      <c r="FQ42" s="740"/>
      <c r="FR42" s="740"/>
      <c r="FS42" s="740"/>
      <c r="FT42" s="740"/>
      <c r="FU42" s="740"/>
      <c r="FV42" s="740"/>
      <c r="FW42" s="740"/>
      <c r="FX42" s="740"/>
      <c r="FY42" s="740"/>
      <c r="FZ42" s="740"/>
      <c r="GA42" s="740"/>
      <c r="GB42" s="740"/>
      <c r="GC42" s="740"/>
      <c r="GD42" s="740"/>
      <c r="GE42" s="740"/>
      <c r="GF42" s="740"/>
      <c r="GG42" s="740"/>
      <c r="GH42" s="740"/>
      <c r="GI42" s="740"/>
      <c r="GJ42" s="740"/>
      <c r="GK42" s="740"/>
      <c r="GL42" s="740"/>
      <c r="GM42" s="740"/>
      <c r="GN42" s="740"/>
      <c r="GO42" s="740"/>
      <c r="GP42" s="740"/>
      <c r="GQ42" s="740"/>
      <c r="GR42" s="740"/>
      <c r="GS42" s="740"/>
      <c r="GT42" s="740"/>
      <c r="GU42" s="740"/>
      <c r="GV42" s="740"/>
      <c r="GW42" s="740"/>
    </row>
    <row r="43" spans="1:205" s="758" customFormat="1" ht="18" customHeight="1" x14ac:dyDescent="0.2">
      <c r="A43" s="2503"/>
      <c r="B43" s="739"/>
      <c r="C43" s="2358"/>
      <c r="D43" s="2676" t="str">
        <f>"(--&gt;" &amp;S43&amp; "€/10 MJNEL)"</f>
        <v>(--&gt;0,1605€/10 MJNEL)</v>
      </c>
      <c r="E43" s="2384"/>
      <c r="F43" s="2279"/>
      <c r="G43" s="2370"/>
      <c r="H43" s="1318" t="s">
        <v>474</v>
      </c>
      <c r="I43" s="2350"/>
      <c r="J43" s="2350"/>
      <c r="K43" s="2362"/>
      <c r="L43" s="2385"/>
      <c r="M43" s="2386">
        <f>L42*$S$43</f>
        <v>0</v>
      </c>
      <c r="N43" s="2387"/>
      <c r="O43" s="2494">
        <f>N42*$S$43</f>
        <v>86.67</v>
      </c>
      <c r="P43" s="2388"/>
      <c r="Q43" s="2389">
        <f>P42*$S$43</f>
        <v>154.08000000000001</v>
      </c>
      <c r="R43" s="2503"/>
      <c r="S43" s="2523">
        <f>VLOOKUP($S$41,Preise!$C$74:$N$81,12,FALSE)</f>
        <v>0.1605</v>
      </c>
      <c r="T43" s="2523" t="s">
        <v>517</v>
      </c>
      <c r="U43" t="s">
        <v>474</v>
      </c>
      <c r="V43" s="740"/>
      <c r="W43" s="740"/>
      <c r="X43" s="2523"/>
      <c r="Y43" s="241"/>
      <c r="Z43" s="2523"/>
      <c r="AA43" s="241"/>
      <c r="AB43" s="2523"/>
      <c r="AC43" s="241"/>
      <c r="AD43" s="2523"/>
      <c r="AE43" s="241"/>
      <c r="AF43" s="2523"/>
      <c r="AG43" s="241"/>
      <c r="AH43" s="2523"/>
      <c r="AI43" s="740"/>
      <c r="AJ43" s="740"/>
      <c r="AK43" s="740"/>
      <c r="AL43" s="740"/>
      <c r="AM43" s="740"/>
      <c r="AN43" s="740"/>
      <c r="AO43" s="740"/>
      <c r="AP43" s="740"/>
      <c r="AR43" s="1331"/>
      <c r="AS43" s="1318"/>
      <c r="AT43" s="1318"/>
      <c r="AU43" s="1318"/>
      <c r="AV43" s="1318"/>
      <c r="AW43" s="1318"/>
      <c r="AX43" s="1309"/>
      <c r="AY43" s="1310"/>
      <c r="AZ43" s="717"/>
      <c r="BA43" s="1297"/>
      <c r="BB43" s="1309"/>
      <c r="BC43" s="1315"/>
      <c r="BD43" s="717"/>
      <c r="BE43" s="1298"/>
      <c r="BF43" s="759"/>
      <c r="BG43" s="713"/>
      <c r="BH43" s="718"/>
      <c r="BI43" s="740"/>
      <c r="BJ43" s="740"/>
      <c r="BK43" s="2523"/>
      <c r="BL43" s="2523"/>
      <c r="BM43" s="241"/>
      <c r="BN43" s="241"/>
      <c r="BO43" s="241"/>
      <c r="BP43" s="117"/>
      <c r="BQ43" s="119"/>
      <c r="BR43" s="2994"/>
      <c r="BS43" s="241"/>
      <c r="BT43" s="241"/>
      <c r="BU43" s="241"/>
      <c r="BV43" s="740"/>
      <c r="BW43" s="740"/>
      <c r="BX43" s="740"/>
      <c r="BY43" s="740"/>
      <c r="BZ43" s="740"/>
      <c r="CA43" s="740"/>
      <c r="CB43" s="740"/>
      <c r="CC43" s="740"/>
      <c r="CD43" s="740"/>
      <c r="CE43" s="740"/>
      <c r="CF43" s="740"/>
      <c r="CG43" s="740"/>
      <c r="CH43" s="740"/>
      <c r="CI43" s="740"/>
      <c r="CJ43" s="740"/>
      <c r="CK43" s="740"/>
      <c r="CL43" s="740"/>
      <c r="CM43" s="740"/>
      <c r="CN43" s="740"/>
      <c r="CO43" s="740"/>
      <c r="CP43" s="740"/>
      <c r="CQ43" s="740"/>
      <c r="CR43" s="740"/>
      <c r="CS43" s="740"/>
      <c r="CT43" s="740"/>
      <c r="CU43" s="740"/>
      <c r="CV43" s="740"/>
      <c r="CW43" s="740"/>
      <c r="CX43" s="740"/>
      <c r="CY43" s="740"/>
      <c r="CZ43" s="740"/>
      <c r="DA43" s="740"/>
      <c r="DB43" s="740"/>
      <c r="DC43" s="740"/>
      <c r="DD43" s="740"/>
      <c r="DE43" s="740"/>
      <c r="DF43" s="740"/>
      <c r="DG43" s="740"/>
      <c r="DH43" s="740"/>
      <c r="DI43" s="740"/>
      <c r="DJ43" s="740"/>
      <c r="DK43" s="740"/>
      <c r="DL43" s="740"/>
      <c r="DM43" s="740"/>
      <c r="DN43" s="740"/>
      <c r="DO43" s="740"/>
      <c r="DP43" s="740"/>
      <c r="DQ43" s="740"/>
      <c r="DR43" s="740"/>
      <c r="DS43" s="740"/>
      <c r="DT43" s="740"/>
      <c r="DU43" s="740"/>
      <c r="DV43" s="740"/>
      <c r="DW43" s="740"/>
      <c r="DX43" s="740"/>
      <c r="DY43" s="740"/>
      <c r="DZ43" s="740"/>
      <c r="EA43" s="740"/>
      <c r="EB43" s="740"/>
      <c r="EC43" s="740"/>
      <c r="ED43" s="740"/>
      <c r="EE43" s="740"/>
      <c r="EF43" s="740"/>
      <c r="EG43" s="740"/>
      <c r="EH43" s="740"/>
      <c r="EI43" s="740"/>
      <c r="EJ43" s="740"/>
      <c r="EK43" s="740"/>
      <c r="EL43" s="740"/>
      <c r="EM43" s="740"/>
      <c r="EN43" s="740"/>
      <c r="EO43" s="740"/>
      <c r="EP43" s="740"/>
      <c r="EQ43" s="740"/>
      <c r="ER43" s="740"/>
      <c r="ES43" s="740"/>
      <c r="ET43" s="740"/>
      <c r="EU43" s="740"/>
      <c r="EV43" s="740"/>
      <c r="EW43" s="740"/>
      <c r="EX43" s="740"/>
      <c r="EY43" s="740"/>
      <c r="EZ43" s="740"/>
      <c r="FA43" s="740"/>
      <c r="FB43" s="740"/>
      <c r="FC43" s="740"/>
      <c r="FD43" s="740"/>
      <c r="FE43" s="740"/>
      <c r="FF43" s="740"/>
      <c r="FG43" s="740"/>
      <c r="FH43" s="740"/>
      <c r="FI43" s="740"/>
      <c r="FJ43" s="740"/>
      <c r="FK43" s="740"/>
      <c r="FL43" s="740"/>
      <c r="FM43" s="740"/>
      <c r="FN43" s="740"/>
      <c r="FO43" s="740"/>
      <c r="FP43" s="740"/>
      <c r="FQ43" s="740"/>
      <c r="FR43" s="740"/>
      <c r="FS43" s="740"/>
      <c r="FT43" s="740"/>
      <c r="FU43" s="740"/>
      <c r="FV43" s="740"/>
      <c r="FW43" s="740"/>
      <c r="FX43" s="740"/>
      <c r="FY43" s="740"/>
      <c r="FZ43" s="740"/>
      <c r="GA43" s="740"/>
      <c r="GB43" s="740"/>
      <c r="GC43" s="740"/>
      <c r="GD43" s="740"/>
      <c r="GE43" s="740"/>
      <c r="GF43" s="740"/>
      <c r="GG43" s="740"/>
      <c r="GH43" s="740"/>
      <c r="GI43" s="740"/>
      <c r="GJ43" s="740"/>
      <c r="GK43" s="740"/>
      <c r="GL43" s="740"/>
      <c r="GM43" s="740"/>
      <c r="GN43" s="740"/>
      <c r="GO43" s="740"/>
      <c r="GP43" s="740"/>
      <c r="GQ43" s="740"/>
      <c r="GR43" s="740"/>
      <c r="GS43" s="740"/>
      <c r="GT43" s="740"/>
      <c r="GU43" s="740"/>
      <c r="GV43" s="740"/>
      <c r="GW43" s="740"/>
    </row>
    <row r="44" spans="1:205" s="758" customFormat="1" ht="18" customHeight="1" x14ac:dyDescent="0.25">
      <c r="A44" s="2503"/>
      <c r="B44" s="739"/>
      <c r="C44" s="2540"/>
      <c r="D44" s="2424" t="str">
        <f>VLOOKUP(S44,Preise!$C$62:$E$68,2,FALSE)</f>
        <v>Grünland, Silage</v>
      </c>
      <c r="E44" s="2302"/>
      <c r="F44" s="2303"/>
      <c r="G44" s="2375"/>
      <c r="H44" s="2376"/>
      <c r="I44" s="960"/>
      <c r="J44" s="2539" t="s">
        <v>516</v>
      </c>
      <c r="K44" s="2377" t="s">
        <v>961</v>
      </c>
      <c r="L44" s="2390">
        <v>60</v>
      </c>
      <c r="M44" s="2379"/>
      <c r="N44" s="2382">
        <v>50</v>
      </c>
      <c r="O44" s="2381"/>
      <c r="P44" s="2382">
        <v>40</v>
      </c>
      <c r="Q44" s="2383"/>
      <c r="R44" s="2503"/>
      <c r="S44" s="2523">
        <v>1</v>
      </c>
      <c r="T44" s="2523" t="str">
        <f>VLOOKUP($S$44,Preise!$C$62:$N$68,2,FALSE)</f>
        <v>Grünland, Silage</v>
      </c>
      <c r="U44" t="s">
        <v>518</v>
      </c>
      <c r="V44" s="740"/>
      <c r="W44" s="740"/>
      <c r="X44" s="2523">
        <f t="shared" si="1"/>
        <v>0</v>
      </c>
      <c r="Y44" s="241"/>
      <c r="Z44" s="2523">
        <f t="shared" si="2"/>
        <v>0</v>
      </c>
      <c r="AA44" s="241"/>
      <c r="AB44" s="2523">
        <f t="shared" si="3"/>
        <v>0</v>
      </c>
      <c r="AC44" s="241"/>
      <c r="AD44" s="2523">
        <f t="shared" si="4"/>
        <v>0</v>
      </c>
      <c r="AE44" s="241"/>
      <c r="AF44" s="2523">
        <f t="shared" si="5"/>
        <v>0</v>
      </c>
      <c r="AG44" s="241">
        <f t="shared" si="6"/>
        <v>0</v>
      </c>
      <c r="AH44" s="2523">
        <f t="shared" si="7"/>
        <v>0</v>
      </c>
      <c r="AI44" s="740"/>
      <c r="AJ44" s="740"/>
      <c r="AK44" s="780" t="s">
        <v>481</v>
      </c>
      <c r="AL44" s="781"/>
      <c r="AM44" s="781"/>
      <c r="AN44" s="781"/>
      <c r="AO44" s="781"/>
      <c r="AP44" s="782">
        <v>1.2</v>
      </c>
      <c r="AR44" s="1331" t="s">
        <v>423</v>
      </c>
      <c r="AS44" s="1318"/>
      <c r="AT44" s="1318"/>
      <c r="AU44" s="1318"/>
      <c r="AV44" s="1318"/>
      <c r="AW44" s="1318"/>
      <c r="AX44" s="1309"/>
      <c r="AY44" s="1310">
        <v>2.5564594059810926</v>
      </c>
      <c r="AZ44" s="717"/>
      <c r="BA44" s="1297">
        <v>2.5564594059810926</v>
      </c>
      <c r="BB44" s="1309"/>
      <c r="BC44" s="1315">
        <v>7</v>
      </c>
      <c r="BD44" s="717"/>
      <c r="BE44" s="1298">
        <f>Q155+BA44</f>
        <v>6.6467944555508405</v>
      </c>
      <c r="BF44" s="759"/>
      <c r="BG44" s="713"/>
      <c r="BH44" s="718">
        <v>5.1129188119621851</v>
      </c>
      <c r="BI44" s="740"/>
      <c r="BJ44" s="740"/>
      <c r="BK44" s="2523">
        <f>VLOOKUP($S$44,Preise!$C$62:$U$69,Preise!$T$60,FALSE)</f>
        <v>4117</v>
      </c>
      <c r="BL44" s="2523">
        <f>VLOOKUP($S$44,Preise!$C$62:$U$69,Preise!$U$60,FALSE)</f>
        <v>12.8</v>
      </c>
      <c r="BM44" s="2523"/>
      <c r="BN44" s="2523"/>
      <c r="BO44" s="2995"/>
      <c r="BP44" s="2997">
        <f>L45/BK44</f>
        <v>0.46635899927131408</v>
      </c>
      <c r="BQ44" s="2997">
        <f>N45/BK44</f>
        <v>0.32790867136264268</v>
      </c>
      <c r="BR44" s="2997">
        <f>P45/BK44</f>
        <v>0.23317949963565704</v>
      </c>
      <c r="BS44" s="2996">
        <f>BP44*BL44</f>
        <v>5.9693951906728202</v>
      </c>
      <c r="BT44" s="2523">
        <f>BQ44*$BL44</f>
        <v>4.1972309934418268</v>
      </c>
      <c r="BU44" s="2523">
        <f>BR44*$BL44</f>
        <v>2.9846975953364101</v>
      </c>
      <c r="BV44" s="740"/>
      <c r="BW44" s="2523">
        <f>M46</f>
        <v>287.61600000000004</v>
      </c>
      <c r="BX44" s="2523">
        <f>O46</f>
        <v>202.23000000000002</v>
      </c>
      <c r="BY44" s="2523">
        <f>Q46</f>
        <v>143.80800000000002</v>
      </c>
      <c r="BZ44" s="740"/>
      <c r="CA44" s="740"/>
      <c r="CB44" s="740"/>
      <c r="CC44" s="740"/>
      <c r="CD44" s="740"/>
      <c r="CE44" s="740"/>
      <c r="CF44" s="740"/>
      <c r="CG44" s="740"/>
      <c r="CH44" s="740"/>
      <c r="CI44" s="740"/>
      <c r="CJ44" s="740"/>
      <c r="CK44" s="740"/>
      <c r="CL44" s="740"/>
      <c r="CM44" s="740"/>
      <c r="CN44" s="740"/>
      <c r="CO44" s="740"/>
      <c r="CP44" s="740"/>
      <c r="CQ44" s="740"/>
      <c r="CR44" s="740"/>
      <c r="CS44" s="740"/>
      <c r="CT44" s="740"/>
      <c r="CU44" s="740"/>
      <c r="CV44" s="740"/>
      <c r="CW44" s="740"/>
      <c r="CX44" s="740"/>
      <c r="CY44" s="740"/>
      <c r="CZ44" s="740"/>
      <c r="DA44" s="740"/>
      <c r="DB44" s="740"/>
      <c r="DC44" s="740"/>
      <c r="DD44" s="740"/>
      <c r="DE44" s="740"/>
      <c r="DF44" s="740"/>
      <c r="DG44" s="740"/>
      <c r="DH44" s="740"/>
      <c r="DI44" s="740"/>
      <c r="DJ44" s="740"/>
      <c r="DK44" s="740"/>
      <c r="DL44" s="740"/>
      <c r="DM44" s="740"/>
      <c r="DN44" s="740"/>
      <c r="DO44" s="740"/>
      <c r="DP44" s="740"/>
      <c r="DQ44" s="740"/>
      <c r="DR44" s="740"/>
      <c r="DS44" s="740"/>
      <c r="DT44" s="740"/>
      <c r="DU44" s="740"/>
      <c r="DV44" s="740"/>
      <c r="DW44" s="740"/>
      <c r="DX44" s="740"/>
      <c r="DY44" s="740"/>
      <c r="DZ44" s="740"/>
      <c r="EA44" s="740"/>
      <c r="EB44" s="740"/>
      <c r="EC44" s="740"/>
      <c r="ED44" s="740"/>
      <c r="EE44" s="740"/>
      <c r="EF44" s="740"/>
      <c r="EG44" s="740"/>
      <c r="EH44" s="740"/>
      <c r="EI44" s="740"/>
      <c r="EJ44" s="740"/>
      <c r="EK44" s="740"/>
      <c r="EL44" s="740"/>
      <c r="EM44" s="740"/>
      <c r="EN44" s="740"/>
      <c r="EO44" s="740"/>
      <c r="EP44" s="740"/>
      <c r="EQ44" s="740"/>
      <c r="ER44" s="740"/>
      <c r="ES44" s="740"/>
      <c r="ET44" s="740"/>
      <c r="EU44" s="740"/>
      <c r="EV44" s="740"/>
      <c r="EW44" s="740"/>
      <c r="EX44" s="740"/>
      <c r="EY44" s="740"/>
      <c r="EZ44" s="740"/>
      <c r="FA44" s="740"/>
      <c r="FB44" s="740"/>
      <c r="FC44" s="740"/>
      <c r="FD44" s="740"/>
      <c r="FE44" s="740"/>
      <c r="FF44" s="740"/>
      <c r="FG44" s="740"/>
      <c r="FH44" s="740"/>
      <c r="FI44" s="740"/>
      <c r="FJ44" s="740"/>
      <c r="FK44" s="740"/>
      <c r="FL44" s="740"/>
      <c r="FM44" s="740"/>
      <c r="FN44" s="740"/>
      <c r="FO44" s="740"/>
      <c r="FP44" s="740"/>
      <c r="FQ44" s="740"/>
      <c r="FR44" s="740"/>
      <c r="FS44" s="740"/>
      <c r="FT44" s="740"/>
      <c r="FU44" s="740"/>
      <c r="FV44" s="740"/>
      <c r="FW44" s="740"/>
      <c r="FX44" s="740"/>
      <c r="FY44" s="740"/>
      <c r="FZ44" s="740"/>
      <c r="GA44" s="740"/>
      <c r="GB44" s="740"/>
      <c r="GC44" s="740"/>
      <c r="GD44" s="740"/>
      <c r="GE44" s="740"/>
      <c r="GF44" s="740"/>
      <c r="GG44" s="740"/>
      <c r="GH44" s="740"/>
      <c r="GI44" s="740"/>
      <c r="GJ44" s="740"/>
      <c r="GK44" s="740"/>
      <c r="GL44" s="740"/>
      <c r="GM44" s="740"/>
      <c r="GN44" s="740"/>
      <c r="GO44" s="740"/>
      <c r="GP44" s="740"/>
      <c r="GQ44" s="740"/>
      <c r="GR44" s="740"/>
      <c r="GS44" s="740"/>
      <c r="GT44" s="740"/>
      <c r="GU44" s="740"/>
      <c r="GV44" s="740"/>
      <c r="GW44" s="740"/>
    </row>
    <row r="45" spans="1:205" s="758" customFormat="1" ht="18" customHeight="1" x14ac:dyDescent="0.2">
      <c r="A45" s="2503"/>
      <c r="B45" s="739"/>
      <c r="C45" s="2358"/>
      <c r="D45" s="2676" t="str">
        <f>"(--&gt;" &amp;S45&amp; "€/10 MJNEL)"</f>
        <v>(--&gt;0,4601€/10 MJNEL)</v>
      </c>
      <c r="F45" s="2279"/>
      <c r="G45" s="2370"/>
      <c r="H45" s="1318" t="s">
        <v>861</v>
      </c>
      <c r="I45" s="2350"/>
      <c r="J45" s="2350"/>
      <c r="K45" s="1382" t="s">
        <v>143</v>
      </c>
      <c r="L45" s="2385">
        <f>L39*L44/100</f>
        <v>1920</v>
      </c>
      <c r="M45" s="2386">
        <f>L45*$S$45</f>
        <v>883.39200000000005</v>
      </c>
      <c r="N45" s="2387">
        <f>N39*N44/100</f>
        <v>1350</v>
      </c>
      <c r="O45" s="2494">
        <f>N45*$S$45</f>
        <v>621.13499999999999</v>
      </c>
      <c r="P45" s="2388">
        <f>P39*P44/100</f>
        <v>960</v>
      </c>
      <c r="Q45" s="2389">
        <f>P45*$S$45</f>
        <v>441.69600000000003</v>
      </c>
      <c r="R45" s="2503"/>
      <c r="S45" s="2523">
        <f>VLOOKUP($S$44,Preise!$C$62:$N$69,12,FALSE)</f>
        <v>0.46010000000000001</v>
      </c>
      <c r="T45" s="2523" t="s">
        <v>517</v>
      </c>
      <c r="U45" t="s">
        <v>519</v>
      </c>
      <c r="V45" s="740"/>
      <c r="W45" s="740"/>
      <c r="X45" s="2523">
        <f t="shared" si="1"/>
        <v>0</v>
      </c>
      <c r="Y45" s="241"/>
      <c r="Z45" s="2523">
        <f t="shared" si="2"/>
        <v>0</v>
      </c>
      <c r="AA45" s="241"/>
      <c r="AB45" s="2523">
        <f t="shared" si="3"/>
        <v>0</v>
      </c>
      <c r="AC45" s="241"/>
      <c r="AD45" s="2523">
        <f t="shared" si="4"/>
        <v>0</v>
      </c>
      <c r="AE45" s="241"/>
      <c r="AF45" s="2523">
        <f t="shared" si="5"/>
        <v>0</v>
      </c>
      <c r="AG45" s="241">
        <f t="shared" si="6"/>
        <v>0</v>
      </c>
      <c r="AH45" s="2523">
        <f t="shared" si="7"/>
        <v>0</v>
      </c>
      <c r="AI45" s="740"/>
      <c r="AJ45" s="740"/>
      <c r="AK45" s="776" t="s">
        <v>482</v>
      </c>
      <c r="AL45" s="796"/>
      <c r="AM45" s="796"/>
      <c r="AN45" s="796"/>
      <c r="AO45" s="796"/>
      <c r="AP45" s="797">
        <v>0.7</v>
      </c>
      <c r="AR45" s="1333" t="s">
        <v>424</v>
      </c>
      <c r="AS45" s="1319"/>
      <c r="AT45" s="1319"/>
      <c r="AU45" s="1319"/>
      <c r="AV45" s="1319"/>
      <c r="AW45" s="1319"/>
      <c r="AX45" s="1309"/>
      <c r="AY45" s="1310">
        <v>10.22583762392437</v>
      </c>
      <c r="AZ45" s="717"/>
      <c r="BA45" s="1297">
        <v>10.22583762392437</v>
      </c>
      <c r="BB45" s="1309"/>
      <c r="BC45" s="1315">
        <v>20</v>
      </c>
      <c r="BD45" s="717"/>
      <c r="BE45" s="1298">
        <f>Q156+BA45</f>
        <v>20.45167524784874</v>
      </c>
      <c r="BF45" s="759"/>
      <c r="BG45" s="713"/>
      <c r="BH45" s="718">
        <v>15.338756435886555</v>
      </c>
      <c r="BI45" s="740"/>
      <c r="BJ45" s="740"/>
      <c r="BK45" s="2523"/>
      <c r="BL45" s="2523"/>
      <c r="BM45" s="241"/>
      <c r="BN45" s="241"/>
      <c r="BO45" s="241"/>
      <c r="BP45" s="117"/>
      <c r="BQ45" s="119"/>
      <c r="BR45" s="2994"/>
      <c r="BS45" s="241"/>
      <c r="BT45" s="241"/>
      <c r="BU45" s="241"/>
      <c r="BV45" s="740"/>
      <c r="BW45" s="740"/>
      <c r="BX45" s="740"/>
      <c r="BY45" s="740"/>
      <c r="BZ45" s="740"/>
      <c r="CA45" s="740"/>
      <c r="CB45" s="740"/>
      <c r="CC45" s="740"/>
      <c r="CD45" s="740"/>
      <c r="CE45" s="740"/>
      <c r="CF45" s="740"/>
      <c r="CG45" s="740"/>
      <c r="CH45" s="740"/>
      <c r="CI45" s="740"/>
      <c r="CJ45" s="740"/>
      <c r="CK45" s="740"/>
      <c r="CL45" s="740"/>
      <c r="CM45" s="740"/>
      <c r="CN45" s="740"/>
      <c r="CO45" s="740"/>
      <c r="CP45" s="740"/>
      <c r="CQ45" s="740"/>
      <c r="CR45" s="740"/>
      <c r="CS45" s="740"/>
      <c r="CT45" s="740"/>
      <c r="CU45" s="740"/>
      <c r="CV45" s="740"/>
      <c r="CW45" s="740"/>
      <c r="CX45" s="740"/>
      <c r="CY45" s="740"/>
      <c r="CZ45" s="740"/>
      <c r="DA45" s="740"/>
      <c r="DB45" s="740"/>
      <c r="DC45" s="740"/>
      <c r="DD45" s="740"/>
      <c r="DE45" s="740"/>
      <c r="DF45" s="740"/>
      <c r="DG45" s="740"/>
      <c r="DH45" s="740"/>
      <c r="DI45" s="740"/>
      <c r="DJ45" s="740"/>
      <c r="DK45" s="740"/>
      <c r="DL45" s="740"/>
      <c r="DM45" s="740"/>
      <c r="DN45" s="740"/>
      <c r="DO45" s="740"/>
      <c r="DP45" s="740"/>
      <c r="DQ45" s="740"/>
      <c r="DR45" s="740"/>
      <c r="DS45" s="740"/>
      <c r="DT45" s="740"/>
      <c r="DU45" s="740"/>
      <c r="DV45" s="740"/>
      <c r="DW45" s="740"/>
      <c r="DX45" s="740"/>
      <c r="DY45" s="740"/>
      <c r="DZ45" s="740"/>
      <c r="EA45" s="740"/>
      <c r="EB45" s="740"/>
      <c r="EC45" s="740"/>
      <c r="ED45" s="740"/>
      <c r="EE45" s="740"/>
      <c r="EF45" s="740"/>
      <c r="EG45" s="740"/>
      <c r="EH45" s="740"/>
      <c r="EI45" s="740"/>
      <c r="EJ45" s="740"/>
      <c r="EK45" s="740"/>
      <c r="EL45" s="740"/>
      <c r="EM45" s="740"/>
      <c r="EN45" s="740"/>
      <c r="EO45" s="740"/>
      <c r="EP45" s="740"/>
      <c r="EQ45" s="740"/>
      <c r="ER45" s="740"/>
      <c r="ES45" s="740"/>
      <c r="ET45" s="740"/>
      <c r="EU45" s="740"/>
      <c r="EV45" s="740"/>
      <c r="EW45" s="740"/>
      <c r="EX45" s="740"/>
      <c r="EY45" s="740"/>
      <c r="EZ45" s="740"/>
      <c r="FA45" s="740"/>
      <c r="FB45" s="740"/>
      <c r="FC45" s="740"/>
      <c r="FD45" s="740"/>
      <c r="FE45" s="740"/>
      <c r="FF45" s="740"/>
      <c r="FG45" s="740"/>
      <c r="FH45" s="740"/>
      <c r="FI45" s="740"/>
      <c r="FJ45" s="740"/>
      <c r="FK45" s="740"/>
      <c r="FL45" s="740"/>
      <c r="FM45" s="740"/>
      <c r="FN45" s="740"/>
      <c r="FO45" s="740"/>
      <c r="FP45" s="740"/>
      <c r="FQ45" s="740"/>
      <c r="FR45" s="740"/>
      <c r="FS45" s="740"/>
      <c r="FT45" s="740"/>
      <c r="FU45" s="740"/>
      <c r="FV45" s="740"/>
      <c r="FW45" s="740"/>
      <c r="FX45" s="740"/>
      <c r="FY45" s="740"/>
      <c r="FZ45" s="740"/>
      <c r="GA45" s="740"/>
      <c r="GB45" s="740"/>
      <c r="GC45" s="740"/>
      <c r="GD45" s="740"/>
      <c r="GE45" s="740"/>
      <c r="GF45" s="740"/>
      <c r="GG45" s="740"/>
      <c r="GH45" s="740"/>
      <c r="GI45" s="740"/>
      <c r="GJ45" s="740"/>
      <c r="GK45" s="740"/>
      <c r="GL45" s="740"/>
      <c r="GM45" s="740"/>
      <c r="GN45" s="740"/>
      <c r="GO45" s="740"/>
      <c r="GP45" s="740"/>
      <c r="GQ45" s="740"/>
      <c r="GR45" s="740"/>
      <c r="GS45" s="740"/>
      <c r="GT45" s="740"/>
      <c r="GU45" s="740"/>
      <c r="GV45" s="740"/>
      <c r="GW45" s="740"/>
    </row>
    <row r="46" spans="1:205" s="758" customFormat="1" ht="18" customHeight="1" x14ac:dyDescent="0.2">
      <c r="A46" s="2503"/>
      <c r="B46" s="739"/>
      <c r="C46" s="2358"/>
      <c r="D46" s="2676" t="str">
        <f>"(--&gt;" &amp;S46&amp; "€/10 MJNEL)"</f>
        <v>(--&gt;0,1498€/10 MJNEL)</v>
      </c>
      <c r="E46" s="2384"/>
      <c r="F46" s="2279"/>
      <c r="G46" s="2370"/>
      <c r="H46" s="1318" t="s">
        <v>474</v>
      </c>
      <c r="I46" s="2350"/>
      <c r="J46" s="2350"/>
      <c r="K46" s="2362"/>
      <c r="L46" s="2385"/>
      <c r="M46" s="2386">
        <f>L45*$S$46</f>
        <v>287.61600000000004</v>
      </c>
      <c r="N46" s="2387"/>
      <c r="O46" s="2494">
        <f>N45*$S$46</f>
        <v>202.23000000000002</v>
      </c>
      <c r="P46" s="2388"/>
      <c r="Q46" s="2389">
        <f>P45*$S$46</f>
        <v>143.80800000000002</v>
      </c>
      <c r="R46" s="2503"/>
      <c r="S46" s="2523">
        <f>VLOOKUP($S$44,Preise!$C$74:$N$81,12,FALSE)</f>
        <v>0.14980000000000002</v>
      </c>
      <c r="T46" s="2523" t="s">
        <v>517</v>
      </c>
      <c r="U46" t="s">
        <v>474</v>
      </c>
      <c r="V46" s="740"/>
      <c r="W46" s="740"/>
      <c r="X46" s="2523"/>
      <c r="Y46" s="241"/>
      <c r="Z46" s="2523"/>
      <c r="AA46" s="241"/>
      <c r="AB46" s="2523"/>
      <c r="AC46" s="241"/>
      <c r="AD46" s="2523"/>
      <c r="AE46" s="241"/>
      <c r="AF46" s="2523"/>
      <c r="AG46" s="241"/>
      <c r="AH46" s="2523"/>
      <c r="AI46" s="740"/>
      <c r="AJ46" s="740"/>
      <c r="AK46" s="776"/>
      <c r="AL46" s="796"/>
      <c r="AM46" s="796"/>
      <c r="AN46" s="796"/>
      <c r="AO46" s="796"/>
      <c r="AP46" s="797"/>
      <c r="AR46" s="1333"/>
      <c r="AS46" s="1319"/>
      <c r="AT46" s="1319"/>
      <c r="AU46" s="1319"/>
      <c r="AV46" s="1319"/>
      <c r="AW46" s="1319"/>
      <c r="AX46" s="1309"/>
      <c r="AY46" s="1310"/>
      <c r="AZ46" s="717"/>
      <c r="BA46" s="1297"/>
      <c r="BB46" s="1309"/>
      <c r="BC46" s="1315"/>
      <c r="BD46" s="717"/>
      <c r="BE46" s="1298"/>
      <c r="BF46" s="759"/>
      <c r="BG46" s="713"/>
      <c r="BH46" s="718"/>
      <c r="BI46" s="740"/>
      <c r="BJ46" s="740"/>
      <c r="BK46" s="2523"/>
      <c r="BL46" s="2523"/>
      <c r="BM46" s="241"/>
      <c r="BN46" s="241"/>
      <c r="BO46" s="241"/>
      <c r="BP46" s="117"/>
      <c r="BQ46" s="119"/>
      <c r="BR46" s="2994"/>
      <c r="BS46" s="241"/>
      <c r="BT46" s="241"/>
      <c r="BU46" s="241"/>
      <c r="BV46" s="740"/>
      <c r="BW46" s="740"/>
      <c r="BX46" s="740"/>
      <c r="BY46" s="740"/>
      <c r="BZ46" s="740"/>
      <c r="CA46" s="740"/>
      <c r="CB46" s="740"/>
      <c r="CC46" s="740"/>
      <c r="CD46" s="740"/>
      <c r="CE46" s="740"/>
      <c r="CF46" s="740"/>
      <c r="CG46" s="740"/>
      <c r="CH46" s="740"/>
      <c r="CI46" s="740"/>
      <c r="CJ46" s="740"/>
      <c r="CK46" s="740"/>
      <c r="CL46" s="740"/>
      <c r="CM46" s="740"/>
      <c r="CN46" s="740"/>
      <c r="CO46" s="740"/>
      <c r="CP46" s="740"/>
      <c r="CQ46" s="740"/>
      <c r="CR46" s="740"/>
      <c r="CS46" s="740"/>
      <c r="CT46" s="740"/>
      <c r="CU46" s="740"/>
      <c r="CV46" s="740"/>
      <c r="CW46" s="740"/>
      <c r="CX46" s="740"/>
      <c r="CY46" s="740"/>
      <c r="CZ46" s="740"/>
      <c r="DA46" s="740"/>
      <c r="DB46" s="740"/>
      <c r="DC46" s="740"/>
      <c r="DD46" s="740"/>
      <c r="DE46" s="740"/>
      <c r="DF46" s="740"/>
      <c r="DG46" s="740"/>
      <c r="DH46" s="740"/>
      <c r="DI46" s="740"/>
      <c r="DJ46" s="740"/>
      <c r="DK46" s="740"/>
      <c r="DL46" s="740"/>
      <c r="DM46" s="740"/>
      <c r="DN46" s="740"/>
      <c r="DO46" s="740"/>
      <c r="DP46" s="740"/>
      <c r="DQ46" s="740"/>
      <c r="DR46" s="740"/>
      <c r="DS46" s="740"/>
      <c r="DT46" s="740"/>
      <c r="DU46" s="740"/>
      <c r="DV46" s="740"/>
      <c r="DW46" s="740"/>
      <c r="DX46" s="740"/>
      <c r="DY46" s="740"/>
      <c r="DZ46" s="740"/>
      <c r="EA46" s="740"/>
      <c r="EB46" s="740"/>
      <c r="EC46" s="740"/>
      <c r="ED46" s="740"/>
      <c r="EE46" s="740"/>
      <c r="EF46" s="740"/>
      <c r="EG46" s="740"/>
      <c r="EH46" s="740"/>
      <c r="EI46" s="740"/>
      <c r="EJ46" s="740"/>
      <c r="EK46" s="740"/>
      <c r="EL46" s="740"/>
      <c r="EM46" s="740"/>
      <c r="EN46" s="740"/>
      <c r="EO46" s="740"/>
      <c r="EP46" s="740"/>
      <c r="EQ46" s="740"/>
      <c r="ER46" s="740"/>
      <c r="ES46" s="740"/>
      <c r="ET46" s="740"/>
      <c r="EU46" s="740"/>
      <c r="EV46" s="740"/>
      <c r="EW46" s="740"/>
      <c r="EX46" s="740"/>
      <c r="EY46" s="740"/>
      <c r="EZ46" s="740"/>
      <c r="FA46" s="740"/>
      <c r="FB46" s="740"/>
      <c r="FC46" s="740"/>
      <c r="FD46" s="740"/>
      <c r="FE46" s="740"/>
      <c r="FF46" s="740"/>
      <c r="FG46" s="740"/>
      <c r="FH46" s="740"/>
      <c r="FI46" s="740"/>
      <c r="FJ46" s="740"/>
      <c r="FK46" s="740"/>
      <c r="FL46" s="740"/>
      <c r="FM46" s="740"/>
      <c r="FN46" s="740"/>
      <c r="FO46" s="740"/>
      <c r="FP46" s="740"/>
      <c r="FQ46" s="740"/>
      <c r="FR46" s="740"/>
      <c r="FS46" s="740"/>
      <c r="FT46" s="740"/>
      <c r="FU46" s="740"/>
      <c r="FV46" s="740"/>
      <c r="FW46" s="740"/>
      <c r="FX46" s="740"/>
      <c r="FY46" s="740"/>
      <c r="FZ46" s="740"/>
      <c r="GA46" s="740"/>
      <c r="GB46" s="740"/>
      <c r="GC46" s="740"/>
      <c r="GD46" s="740"/>
      <c r="GE46" s="740"/>
      <c r="GF46" s="740"/>
      <c r="GG46" s="740"/>
      <c r="GH46" s="740"/>
      <c r="GI46" s="740"/>
      <c r="GJ46" s="740"/>
      <c r="GK46" s="740"/>
      <c r="GL46" s="740"/>
      <c r="GM46" s="740"/>
      <c r="GN46" s="740"/>
      <c r="GO46" s="740"/>
      <c r="GP46" s="740"/>
      <c r="GQ46" s="740"/>
      <c r="GR46" s="740"/>
      <c r="GS46" s="740"/>
      <c r="GT46" s="740"/>
      <c r="GU46" s="740"/>
      <c r="GV46" s="740"/>
      <c r="GW46" s="740"/>
    </row>
    <row r="47" spans="1:205" s="758" customFormat="1" ht="18" customHeight="1" thickBot="1" x14ac:dyDescent="0.3">
      <c r="A47" s="2503"/>
      <c r="B47" s="739"/>
      <c r="C47" s="2540"/>
      <c r="D47" s="2424" t="str">
        <f>VLOOKUP(S47,Preise!$C$62:$E$68,2,FALSE)</f>
        <v>Weide</v>
      </c>
      <c r="E47" s="2302"/>
      <c r="F47" s="2303"/>
      <c r="G47" s="2375"/>
      <c r="H47" s="2376"/>
      <c r="I47" s="960"/>
      <c r="J47" s="2539" t="s">
        <v>516</v>
      </c>
      <c r="K47" s="2377" t="s">
        <v>961</v>
      </c>
      <c r="L47" s="2378">
        <v>40</v>
      </c>
      <c r="M47" s="2379"/>
      <c r="N47" s="2380">
        <v>30</v>
      </c>
      <c r="O47" s="2381"/>
      <c r="P47" s="2382">
        <v>20</v>
      </c>
      <c r="Q47" s="2383"/>
      <c r="R47" s="2503"/>
      <c r="S47" s="2523">
        <v>5</v>
      </c>
      <c r="T47" s="2523" t="str">
        <f>VLOOKUP($S$47,Preise!$C$62:$N$68,2,FALSE)</f>
        <v>Weide</v>
      </c>
      <c r="U47" t="s">
        <v>518</v>
      </c>
      <c r="V47" s="740"/>
      <c r="W47" s="740"/>
      <c r="X47" s="2523">
        <f t="shared" si="1"/>
        <v>40</v>
      </c>
      <c r="Y47" s="241"/>
      <c r="Z47" s="2523">
        <f t="shared" si="2"/>
        <v>30</v>
      </c>
      <c r="AA47" s="241"/>
      <c r="AB47" s="2523">
        <f t="shared" si="3"/>
        <v>20</v>
      </c>
      <c r="AC47" s="241"/>
      <c r="AD47" s="2523">
        <f t="shared" si="4"/>
        <v>40</v>
      </c>
      <c r="AE47" s="241"/>
      <c r="AF47" s="2523">
        <f t="shared" si="5"/>
        <v>30</v>
      </c>
      <c r="AG47" s="241">
        <f t="shared" si="6"/>
        <v>0</v>
      </c>
      <c r="AH47" s="2523">
        <f t="shared" si="7"/>
        <v>20</v>
      </c>
      <c r="AI47" s="740"/>
      <c r="AJ47" s="740"/>
      <c r="AK47" s="776" t="s">
        <v>483</v>
      </c>
      <c r="AL47" s="796"/>
      <c r="AM47" s="796"/>
      <c r="AN47" s="796"/>
      <c r="AO47" s="796"/>
      <c r="AP47" s="797">
        <v>0.6</v>
      </c>
      <c r="AR47" s="1333" t="s">
        <v>68</v>
      </c>
      <c r="AS47" s="1319"/>
      <c r="AT47" s="1319"/>
      <c r="AU47" s="1319"/>
      <c r="AV47" s="1319"/>
      <c r="AW47" s="1319"/>
      <c r="AX47" s="1309"/>
      <c r="AY47" s="1310">
        <v>4.0903350495697479</v>
      </c>
      <c r="AZ47" s="717"/>
      <c r="BA47" s="1297">
        <v>4.0903350495697479</v>
      </c>
      <c r="BB47" s="1309"/>
      <c r="BC47" s="1315">
        <v>6.1355025743546223</v>
      </c>
      <c r="BD47" s="717"/>
      <c r="BE47" s="1298">
        <f>Q157+BA47</f>
        <v>6.6467944555508405</v>
      </c>
      <c r="BF47" s="759"/>
      <c r="BG47" s="713"/>
      <c r="BH47" s="718">
        <v>6.1355025743546223</v>
      </c>
      <c r="BI47" s="740"/>
      <c r="BJ47" s="740"/>
      <c r="BK47" s="2523">
        <f>VLOOKUP($S$47,Preise!$C$62:$U$69,Preise!$T$60,FALSE)</f>
        <v>4457</v>
      </c>
      <c r="BL47" s="2523">
        <f>VLOOKUP($S47,Preise!$C$62:$U$69,Preise!$U$60,FALSE)</f>
        <v>16.2</v>
      </c>
      <c r="BM47" s="2523"/>
      <c r="BN47" s="2523"/>
      <c r="BO47" s="2995"/>
      <c r="BP47" s="2997">
        <f>L48/BK47</f>
        <v>0.28718869194525465</v>
      </c>
      <c r="BQ47" s="2997">
        <f>N48/BK47</f>
        <v>0.18173659412160645</v>
      </c>
      <c r="BR47" s="2997">
        <f>P48/BK47</f>
        <v>0.10769575947947049</v>
      </c>
      <c r="BS47" s="2996">
        <f>BP47*$BL47</f>
        <v>4.6524568095131249</v>
      </c>
      <c r="BT47" s="2996">
        <f>BQ47*$BL47</f>
        <v>2.9441328247700245</v>
      </c>
      <c r="BU47" s="2996">
        <f>BR47*$BL47</f>
        <v>1.7446713035674219</v>
      </c>
      <c r="BV47" s="740"/>
      <c r="BW47" s="2523">
        <f>M49</f>
        <v>178.048</v>
      </c>
      <c r="BX47" s="2523">
        <f>O49</f>
        <v>112.67100000000001</v>
      </c>
      <c r="BY47" s="2523">
        <f>Q49</f>
        <v>66.768000000000001</v>
      </c>
      <c r="BZ47" s="740"/>
      <c r="CA47" s="740"/>
      <c r="CB47" s="740"/>
      <c r="CC47" s="740"/>
      <c r="CD47" s="740"/>
      <c r="CE47" s="740"/>
      <c r="CF47" s="740"/>
      <c r="CG47" s="740"/>
      <c r="CH47" s="740"/>
      <c r="CI47" s="740"/>
      <c r="CJ47" s="740"/>
      <c r="CK47" s="740"/>
      <c r="CL47" s="740"/>
      <c r="CM47" s="740"/>
      <c r="CN47" s="740"/>
      <c r="CO47" s="740"/>
      <c r="CP47" s="740"/>
      <c r="CQ47" s="740"/>
      <c r="CR47" s="740"/>
      <c r="CS47" s="740"/>
      <c r="CT47" s="740"/>
      <c r="CU47" s="740"/>
      <c r="CV47" s="740"/>
      <c r="CW47" s="740"/>
      <c r="CX47" s="740"/>
      <c r="CY47" s="740"/>
      <c r="CZ47" s="740"/>
      <c r="DA47" s="740"/>
      <c r="DB47" s="740"/>
      <c r="DC47" s="740"/>
      <c r="DD47" s="740"/>
      <c r="DE47" s="740"/>
      <c r="DF47" s="740"/>
      <c r="DG47" s="740"/>
      <c r="DH47" s="740"/>
      <c r="DI47" s="740"/>
      <c r="DJ47" s="740"/>
      <c r="DK47" s="740"/>
      <c r="DL47" s="740"/>
      <c r="DM47" s="740"/>
      <c r="DN47" s="740"/>
      <c r="DO47" s="740"/>
      <c r="DP47" s="740"/>
      <c r="DQ47" s="740"/>
      <c r="DR47" s="740"/>
      <c r="DS47" s="740"/>
      <c r="DT47" s="740"/>
      <c r="DU47" s="740"/>
      <c r="DV47" s="740"/>
      <c r="DW47" s="740"/>
      <c r="DX47" s="740"/>
      <c r="DY47" s="740"/>
      <c r="DZ47" s="740"/>
      <c r="EA47" s="740"/>
      <c r="EB47" s="740"/>
      <c r="EC47" s="740"/>
      <c r="ED47" s="740"/>
      <c r="EE47" s="740"/>
      <c r="EF47" s="740"/>
      <c r="EG47" s="740"/>
      <c r="EH47" s="740"/>
      <c r="EI47" s="740"/>
      <c r="EJ47" s="740"/>
      <c r="EK47" s="740"/>
      <c r="EL47" s="740"/>
      <c r="EM47" s="740"/>
      <c r="EN47" s="740"/>
      <c r="EO47" s="740"/>
      <c r="EP47" s="740"/>
      <c r="EQ47" s="740"/>
      <c r="ER47" s="740"/>
      <c r="ES47" s="740"/>
      <c r="ET47" s="740"/>
      <c r="EU47" s="740"/>
      <c r="EV47" s="740"/>
      <c r="EW47" s="740"/>
      <c r="EX47" s="740"/>
      <c r="EY47" s="740"/>
      <c r="EZ47" s="740"/>
      <c r="FA47" s="740"/>
      <c r="FB47" s="740"/>
      <c r="FC47" s="740"/>
      <c r="FD47" s="740"/>
      <c r="FE47" s="740"/>
      <c r="FF47" s="740"/>
      <c r="FG47" s="740"/>
      <c r="FH47" s="740"/>
      <c r="FI47" s="740"/>
      <c r="FJ47" s="740"/>
      <c r="FK47" s="740"/>
      <c r="FL47" s="740"/>
      <c r="FM47" s="740"/>
      <c r="FN47" s="740"/>
      <c r="FO47" s="740"/>
      <c r="FP47" s="740"/>
      <c r="FQ47" s="740"/>
      <c r="FR47" s="740"/>
      <c r="FS47" s="740"/>
      <c r="FT47" s="740"/>
      <c r="FU47" s="740"/>
      <c r="FV47" s="740"/>
      <c r="FW47" s="740"/>
      <c r="FX47" s="740"/>
      <c r="FY47" s="740"/>
      <c r="FZ47" s="740"/>
      <c r="GA47" s="740"/>
      <c r="GB47" s="740"/>
      <c r="GC47" s="740"/>
      <c r="GD47" s="740"/>
      <c r="GE47" s="740"/>
      <c r="GF47" s="740"/>
      <c r="GG47" s="740"/>
      <c r="GH47" s="740"/>
      <c r="GI47" s="740"/>
      <c r="GJ47" s="740"/>
      <c r="GK47" s="740"/>
      <c r="GL47" s="740"/>
      <c r="GM47" s="740"/>
      <c r="GN47" s="740"/>
      <c r="GO47" s="740"/>
      <c r="GP47" s="740"/>
      <c r="GQ47" s="740"/>
      <c r="GR47" s="740"/>
      <c r="GS47" s="740"/>
      <c r="GT47" s="740"/>
      <c r="GU47" s="740"/>
      <c r="GV47" s="740"/>
      <c r="GW47" s="740"/>
    </row>
    <row r="48" spans="1:205" s="758" customFormat="1" ht="18" customHeight="1" thickBot="1" x14ac:dyDescent="0.25">
      <c r="A48" s="2503"/>
      <c r="B48" s="739"/>
      <c r="C48" s="2358"/>
      <c r="D48" s="2676" t="str">
        <f>"(--&gt;" &amp;S48&amp; "€/10 MJNEL)"</f>
        <v>(--&gt;0,3317€/10 MJNEL)</v>
      </c>
      <c r="F48" s="2279"/>
      <c r="G48" s="2370"/>
      <c r="H48" s="1318" t="s">
        <v>861</v>
      </c>
      <c r="I48" s="2350"/>
      <c r="J48" s="2350"/>
      <c r="K48" s="1382" t="s">
        <v>143</v>
      </c>
      <c r="L48" s="2385">
        <f>L39*L47/100</f>
        <v>1280</v>
      </c>
      <c r="M48" s="2386">
        <f>L48*$S$48</f>
        <v>424.57600000000002</v>
      </c>
      <c r="N48" s="2387">
        <f>N39*N47/100</f>
        <v>810</v>
      </c>
      <c r="O48" s="2494">
        <f>N48*$S$48</f>
        <v>268.67700000000002</v>
      </c>
      <c r="P48" s="2388">
        <f>P39*P47/100</f>
        <v>480</v>
      </c>
      <c r="Q48" s="2389">
        <f>P48*$S$48</f>
        <v>159.21600000000001</v>
      </c>
      <c r="R48" s="2503"/>
      <c r="S48" s="2523">
        <f>VLOOKUP($S$47,Preise!$C$62:$N$69,12,FALSE)</f>
        <v>0.33169999999999999</v>
      </c>
      <c r="T48" s="2523" t="s">
        <v>517</v>
      </c>
      <c r="U48" t="s">
        <v>519</v>
      </c>
      <c r="V48" s="740"/>
      <c r="W48" s="740"/>
      <c r="X48" s="2523">
        <f t="shared" si="1"/>
        <v>0</v>
      </c>
      <c r="Y48" s="241"/>
      <c r="Z48" s="2523">
        <f t="shared" si="2"/>
        <v>0</v>
      </c>
      <c r="AA48" s="241"/>
      <c r="AB48" s="2523">
        <f t="shared" si="3"/>
        <v>0</v>
      </c>
      <c r="AC48" s="241"/>
      <c r="AD48" s="2523">
        <f t="shared" si="4"/>
        <v>0</v>
      </c>
      <c r="AE48" s="241"/>
      <c r="AF48" s="2523">
        <f t="shared" si="5"/>
        <v>0</v>
      </c>
      <c r="AG48" s="241">
        <f t="shared" si="6"/>
        <v>0</v>
      </c>
      <c r="AH48" s="2523">
        <f t="shared" si="7"/>
        <v>0</v>
      </c>
      <c r="AK48" s="783" t="s">
        <v>484</v>
      </c>
      <c r="AL48" s="762"/>
      <c r="AM48" s="762"/>
      <c r="AN48" s="762"/>
      <c r="AO48" s="762"/>
      <c r="AP48" s="784">
        <v>0.3</v>
      </c>
      <c r="AR48" s="1334" t="s">
        <v>999</v>
      </c>
      <c r="AS48" s="1335"/>
      <c r="AT48" s="1335"/>
      <c r="AU48" s="1335"/>
      <c r="AV48" s="1335"/>
      <c r="AW48" s="1335"/>
      <c r="AX48" s="1311"/>
      <c r="AY48" s="1312">
        <f>SUM(AY32:AY47)</f>
        <v>168.41421029741849</v>
      </c>
      <c r="AZ48" s="794"/>
      <c r="BA48" s="795">
        <f>SUM(BA32:BA47)</f>
        <v>82.134760297418467</v>
      </c>
      <c r="BB48" s="1311"/>
      <c r="BC48" s="1312">
        <f>SUM(BC32:BC47)</f>
        <v>437.36895257435458</v>
      </c>
      <c r="BD48" s="794"/>
      <c r="BE48" s="1292">
        <f>SUM(BE32:BE47)</f>
        <v>303.47652059483693</v>
      </c>
      <c r="BF48" s="759"/>
      <c r="BG48" s="719"/>
      <c r="BH48" s="793">
        <f>SUM(BH32:BH47)</f>
        <v>122.47721544612773</v>
      </c>
      <c r="BI48" s="740"/>
      <c r="BJ48" s="740"/>
      <c r="BK48" s="2523"/>
      <c r="BL48" s="2523"/>
      <c r="BM48" s="241"/>
      <c r="BN48" s="241"/>
      <c r="BO48" s="241"/>
      <c r="BP48" s="241"/>
      <c r="BQ48" s="241"/>
      <c r="BR48" s="241"/>
      <c r="BS48" s="241"/>
      <c r="BT48" s="241"/>
      <c r="BU48" s="241"/>
      <c r="BV48" s="740"/>
      <c r="BW48" s="740"/>
      <c r="BX48" s="740"/>
      <c r="BY48" s="740"/>
      <c r="BZ48" s="740"/>
      <c r="CA48" s="740"/>
      <c r="CB48" s="740"/>
      <c r="CC48" s="740"/>
      <c r="CD48" s="740"/>
      <c r="CE48" s="740"/>
      <c r="CF48" s="740"/>
      <c r="CG48" s="740"/>
      <c r="CH48" s="740"/>
      <c r="CI48" s="740"/>
      <c r="CJ48" s="740"/>
      <c r="CK48" s="740"/>
      <c r="CL48" s="740"/>
      <c r="CM48" s="740"/>
      <c r="CN48" s="740"/>
      <c r="CO48" s="740"/>
      <c r="CP48" s="740"/>
      <c r="CQ48" s="740"/>
      <c r="CR48" s="740"/>
      <c r="CS48" s="740"/>
      <c r="CT48" s="740"/>
      <c r="CU48" s="740"/>
      <c r="CV48" s="740"/>
      <c r="CW48" s="740"/>
      <c r="CX48" s="740"/>
      <c r="CY48" s="740"/>
      <c r="CZ48" s="740"/>
      <c r="DA48" s="740"/>
      <c r="DB48" s="740"/>
      <c r="DC48" s="740"/>
      <c r="DD48" s="740"/>
      <c r="DE48" s="740"/>
      <c r="DF48" s="740"/>
      <c r="DG48" s="740"/>
      <c r="DH48" s="740"/>
      <c r="DI48" s="740"/>
      <c r="DJ48" s="740"/>
      <c r="DK48" s="740"/>
      <c r="DL48" s="740"/>
      <c r="DM48" s="740"/>
      <c r="DN48" s="740"/>
      <c r="DO48" s="740"/>
      <c r="DP48" s="740"/>
      <c r="DQ48" s="740"/>
      <c r="DR48" s="740"/>
      <c r="DS48" s="740"/>
      <c r="DT48" s="740"/>
      <c r="DU48" s="740"/>
      <c r="DV48" s="740"/>
      <c r="DW48" s="740"/>
      <c r="DX48" s="740"/>
      <c r="DY48" s="740"/>
      <c r="DZ48" s="740"/>
      <c r="EA48" s="740"/>
      <c r="EB48" s="740"/>
      <c r="EC48" s="740"/>
      <c r="ED48" s="740"/>
      <c r="EE48" s="740"/>
      <c r="EF48" s="740"/>
      <c r="EG48" s="740"/>
      <c r="EH48" s="740"/>
      <c r="EI48" s="740"/>
      <c r="EJ48" s="740"/>
      <c r="EK48" s="740"/>
      <c r="EL48" s="740"/>
      <c r="EM48" s="740"/>
      <c r="EN48" s="740"/>
      <c r="EO48" s="740"/>
      <c r="EP48" s="740"/>
      <c r="EQ48" s="740"/>
      <c r="ER48" s="740"/>
      <c r="ES48" s="740"/>
      <c r="ET48" s="740"/>
      <c r="EU48" s="740"/>
      <c r="EV48" s="740"/>
      <c r="EW48" s="740"/>
      <c r="EX48" s="740"/>
      <c r="EY48" s="740"/>
      <c r="EZ48" s="740"/>
      <c r="FA48" s="740"/>
      <c r="FB48" s="740"/>
      <c r="FC48" s="740"/>
      <c r="FD48" s="740"/>
      <c r="FE48" s="740"/>
      <c r="FF48" s="740"/>
      <c r="FG48" s="740"/>
      <c r="FH48" s="740"/>
      <c r="FI48" s="740"/>
      <c r="FJ48" s="740"/>
      <c r="FK48" s="740"/>
      <c r="FL48" s="740"/>
      <c r="FM48" s="740"/>
      <c r="FN48" s="740"/>
      <c r="FO48" s="740"/>
      <c r="FP48" s="740"/>
      <c r="FQ48" s="740"/>
      <c r="FR48" s="740"/>
      <c r="FS48" s="740"/>
      <c r="FT48" s="740"/>
      <c r="FU48" s="740"/>
      <c r="FV48" s="740"/>
      <c r="FW48" s="740"/>
      <c r="FX48" s="740"/>
      <c r="FY48" s="740"/>
      <c r="FZ48" s="740"/>
      <c r="GA48" s="740"/>
      <c r="GB48" s="740"/>
      <c r="GC48" s="740"/>
      <c r="GD48" s="740"/>
      <c r="GE48" s="740"/>
      <c r="GF48" s="740"/>
      <c r="GG48" s="740"/>
      <c r="GH48" s="740"/>
      <c r="GI48" s="740"/>
      <c r="GJ48" s="740"/>
      <c r="GK48" s="740"/>
      <c r="GL48" s="740"/>
      <c r="GM48" s="740"/>
      <c r="GN48" s="740"/>
      <c r="GO48" s="740"/>
      <c r="GP48" s="740"/>
      <c r="GQ48" s="740"/>
      <c r="GR48" s="740"/>
      <c r="GS48" s="740"/>
      <c r="GT48" s="740"/>
      <c r="GU48" s="740"/>
      <c r="GV48" s="740"/>
      <c r="GW48" s="740"/>
    </row>
    <row r="49" spans="1:205" s="758" customFormat="1" ht="18" customHeight="1" x14ac:dyDescent="0.2">
      <c r="A49" s="2503"/>
      <c r="B49" s="739"/>
      <c r="C49" s="2391"/>
      <c r="D49" s="2676" t="str">
        <f>"(--&gt;" &amp;S49&amp; "€/10 MJNEL)"</f>
        <v>(--&gt;0,1391€/10 MJNEL)</v>
      </c>
      <c r="E49" s="2317"/>
      <c r="F49" s="2318"/>
      <c r="G49" s="2393"/>
      <c r="H49" s="1335" t="s">
        <v>474</v>
      </c>
      <c r="I49" s="2350"/>
      <c r="J49" s="2350"/>
      <c r="K49" s="2394"/>
      <c r="L49" s="2395" t="str">
        <f>IF(AD39=100," ","Summe-Grundfutterarten=100% ?")</f>
        <v xml:space="preserve"> </v>
      </c>
      <c r="M49" s="2352">
        <f>L48*$S$49</f>
        <v>178.048</v>
      </c>
      <c r="N49" s="2396" t="str">
        <f>IF(AB39=100," ","Summe-Grundfutterarten=100% ?")</f>
        <v xml:space="preserve"> </v>
      </c>
      <c r="O49" s="2677">
        <f>N48*$S$49</f>
        <v>112.67100000000001</v>
      </c>
      <c r="P49" s="2397" t="str">
        <f>IF(Z39=100," ","Summe-Grundfutterarten=100% ?")</f>
        <v xml:space="preserve"> </v>
      </c>
      <c r="Q49" s="2355">
        <f>P48*$S$49</f>
        <v>66.768000000000001</v>
      </c>
      <c r="R49" s="2503"/>
      <c r="S49" s="2523">
        <f>VLOOKUP($S$47,Preise!$C$74:$N$81,12,FALSE)</f>
        <v>0.1391</v>
      </c>
      <c r="T49" s="2523" t="s">
        <v>517</v>
      </c>
      <c r="U49" t="s">
        <v>474</v>
      </c>
      <c r="W49" s="241" t="s">
        <v>582</v>
      </c>
      <c r="X49" s="2523">
        <f>SUM(X41:X48)</f>
        <v>40</v>
      </c>
      <c r="Y49" s="241"/>
      <c r="Z49" s="2523">
        <f>SUM(Z41:Z48)</f>
        <v>30</v>
      </c>
      <c r="AA49" s="241"/>
      <c r="AB49" s="2523">
        <f>SUM(AB41:AB48)</f>
        <v>20</v>
      </c>
      <c r="AC49" s="109" t="s">
        <v>582</v>
      </c>
      <c r="AD49" s="2523">
        <f>SUM(AD41:AD48)</f>
        <v>40</v>
      </c>
      <c r="AE49" s="241"/>
      <c r="AF49" s="2523">
        <f>SUM(AF41:AF48)</f>
        <v>30</v>
      </c>
      <c r="AG49" s="241">
        <f t="shared" si="6"/>
        <v>0</v>
      </c>
      <c r="AH49" s="2523">
        <f>SUM(AH41:AH48)</f>
        <v>20</v>
      </c>
      <c r="AO49" s="740"/>
      <c r="AP49" s="740"/>
      <c r="AQ49" s="759"/>
      <c r="AR49" s="759"/>
      <c r="AS49" s="759"/>
      <c r="AT49" s="759"/>
      <c r="AU49" s="759"/>
      <c r="AV49" s="759"/>
      <c r="AW49" s="759"/>
      <c r="AX49" s="759"/>
      <c r="AY49" s="759"/>
      <c r="AZ49" s="759"/>
      <c r="BA49" s="759"/>
      <c r="BB49" s="759"/>
      <c r="BC49" s="759"/>
      <c r="BD49" s="759"/>
      <c r="BE49" s="759"/>
      <c r="BF49" s="759"/>
      <c r="BG49" s="759"/>
      <c r="BH49" s="759"/>
      <c r="BI49" s="740"/>
      <c r="BJ49" s="740"/>
      <c r="BK49" s="2523"/>
      <c r="BL49" s="2523"/>
      <c r="BM49" s="241"/>
      <c r="BN49" s="241"/>
      <c r="BO49" s="241"/>
      <c r="BP49" s="241"/>
      <c r="BQ49" s="241"/>
      <c r="BR49" s="241"/>
      <c r="BS49" s="241"/>
      <c r="BT49" s="241"/>
      <c r="BU49" s="241"/>
      <c r="BV49" s="740"/>
      <c r="BW49"/>
      <c r="BX49"/>
      <c r="BY49"/>
      <c r="BZ49" s="740"/>
      <c r="CA49" s="740"/>
      <c r="CB49" s="740"/>
      <c r="CC49" s="740"/>
      <c r="CD49" s="740"/>
      <c r="CE49" s="740"/>
      <c r="CF49" s="740"/>
      <c r="CG49" s="740"/>
      <c r="CH49" s="740"/>
      <c r="CI49" s="740"/>
      <c r="CJ49" s="740"/>
      <c r="CK49" s="740"/>
      <c r="CL49" s="740"/>
      <c r="CM49" s="740"/>
      <c r="CN49" s="740"/>
      <c r="CO49" s="740"/>
      <c r="CP49" s="740"/>
      <c r="CQ49" s="740"/>
      <c r="CR49" s="740"/>
      <c r="CS49" s="740"/>
      <c r="CT49" s="740"/>
      <c r="CU49" s="740"/>
      <c r="CV49" s="740"/>
      <c r="CW49" s="740"/>
      <c r="CX49" s="740"/>
      <c r="CY49" s="740"/>
      <c r="CZ49" s="740"/>
      <c r="DA49" s="740"/>
      <c r="DB49" s="740"/>
      <c r="DC49" s="740"/>
      <c r="DD49" s="740"/>
      <c r="DE49" s="740"/>
      <c r="DF49" s="740"/>
      <c r="DG49" s="740"/>
      <c r="DH49" s="740"/>
      <c r="DI49" s="740"/>
      <c r="DJ49" s="740"/>
      <c r="DK49" s="740"/>
      <c r="DL49" s="740"/>
      <c r="DM49" s="740"/>
      <c r="DN49" s="740"/>
      <c r="DO49" s="740"/>
      <c r="DP49" s="740"/>
      <c r="DQ49" s="740"/>
      <c r="DR49" s="740"/>
      <c r="DS49" s="740"/>
      <c r="DT49" s="740"/>
      <c r="DU49" s="740"/>
      <c r="DV49" s="740"/>
      <c r="DW49" s="740"/>
      <c r="DX49" s="740"/>
      <c r="DY49" s="740"/>
      <c r="DZ49" s="740"/>
      <c r="EA49" s="740"/>
      <c r="EB49" s="740"/>
      <c r="EC49" s="740"/>
      <c r="ED49" s="740"/>
      <c r="EE49" s="740"/>
      <c r="EF49" s="740"/>
      <c r="EG49" s="740"/>
      <c r="EH49" s="740"/>
      <c r="EI49" s="740"/>
      <c r="EJ49" s="740"/>
      <c r="EK49" s="740"/>
      <c r="EL49" s="740"/>
      <c r="EM49" s="740"/>
      <c r="EN49" s="740"/>
      <c r="EO49" s="740"/>
      <c r="EP49" s="740"/>
      <c r="EQ49" s="740"/>
      <c r="ER49" s="740"/>
      <c r="ES49" s="740"/>
      <c r="ET49" s="740"/>
      <c r="EU49" s="740"/>
      <c r="EV49" s="740"/>
      <c r="EW49" s="740"/>
      <c r="EX49" s="740"/>
      <c r="EY49" s="740"/>
      <c r="EZ49" s="740"/>
      <c r="FA49" s="740"/>
      <c r="FB49" s="740"/>
      <c r="FC49" s="740"/>
      <c r="FD49" s="740"/>
      <c r="FE49" s="740"/>
      <c r="FF49" s="740"/>
      <c r="FG49" s="740"/>
      <c r="FH49" s="740"/>
      <c r="FI49" s="740"/>
      <c r="FJ49" s="740"/>
      <c r="FK49" s="740"/>
      <c r="FL49" s="740"/>
      <c r="FM49" s="740"/>
      <c r="FN49" s="740"/>
      <c r="FO49" s="740"/>
      <c r="FP49" s="740"/>
      <c r="FQ49" s="740"/>
      <c r="FR49" s="740"/>
      <c r="FS49" s="740"/>
      <c r="FT49" s="740"/>
      <c r="FU49" s="740"/>
      <c r="FV49" s="740"/>
      <c r="FW49" s="740"/>
      <c r="FX49" s="740"/>
      <c r="FY49" s="740"/>
      <c r="FZ49" s="740"/>
      <c r="GA49" s="740"/>
      <c r="GB49" s="740"/>
      <c r="GC49" s="740"/>
      <c r="GD49" s="740"/>
      <c r="GE49" s="740"/>
      <c r="GF49" s="740"/>
      <c r="GG49" s="740"/>
      <c r="GH49" s="740"/>
      <c r="GI49" s="740"/>
      <c r="GJ49" s="740"/>
      <c r="GK49" s="740"/>
      <c r="GL49" s="740"/>
      <c r="GM49" s="740"/>
      <c r="GN49" s="740"/>
      <c r="GO49" s="740"/>
      <c r="GP49" s="740"/>
      <c r="GQ49" s="740"/>
      <c r="GR49" s="740"/>
      <c r="GS49" s="740"/>
      <c r="GT49" s="740"/>
      <c r="GU49" s="740"/>
      <c r="GV49" s="740"/>
      <c r="GW49" s="740"/>
    </row>
    <row r="50" spans="1:205" s="758" customFormat="1" ht="19.5" customHeight="1" x14ac:dyDescent="0.2">
      <c r="A50" s="2503"/>
      <c r="B50" s="739"/>
      <c r="C50" s="2356"/>
      <c r="D50" s="809" t="str">
        <f>"Arbeitskosten (ohne Futterbau) bei " &amp;Stammdaten!P39&amp;" €/Akh"</f>
        <v>Arbeitskosten (ohne Futterbau) bei 17,5 €/Akh</v>
      </c>
      <c r="E50" s="808"/>
      <c r="F50" s="808"/>
      <c r="G50" s="2279"/>
      <c r="H50" s="2342"/>
      <c r="I50" s="642"/>
      <c r="J50" s="642"/>
      <c r="K50" s="2398" t="s">
        <v>61</v>
      </c>
      <c r="L50" s="2399"/>
      <c r="M50" s="2400">
        <f>L52*Stammdaten!P39</f>
        <v>423.02750000000003</v>
      </c>
      <c r="N50" s="2401"/>
      <c r="O50" s="2402">
        <f>N52*Stammdaten!P39</f>
        <v>410.7763333333333</v>
      </c>
      <c r="P50" s="2403"/>
      <c r="Q50" s="2404">
        <f>P52*Stammdaten!P39</f>
        <v>396.75066666666669</v>
      </c>
      <c r="R50" s="2503"/>
      <c r="T50" s="740"/>
      <c r="U50" s="740"/>
      <c r="V50" s="740"/>
      <c r="W50" s="740"/>
      <c r="X50" s="740"/>
      <c r="Y50" s="740"/>
      <c r="Z50" s="740"/>
      <c r="AA50" s="740"/>
      <c r="AB50" s="740"/>
      <c r="AC50" s="740"/>
      <c r="AG50" s="740"/>
      <c r="AH50" s="740"/>
      <c r="AO50" s="740"/>
      <c r="AP50" s="740"/>
      <c r="AQ50" s="724" t="s">
        <v>708</v>
      </c>
      <c r="AR50" s="759"/>
      <c r="AS50" s="759"/>
      <c r="AT50" s="759"/>
      <c r="AU50" s="759"/>
      <c r="AV50" s="759"/>
      <c r="AW50" s="759"/>
      <c r="AX50" s="759"/>
      <c r="AY50" s="759"/>
      <c r="AZ50" s="759"/>
      <c r="BA50" s="759"/>
      <c r="BB50" s="759"/>
      <c r="BC50" s="759"/>
      <c r="BD50" s="759"/>
      <c r="BE50" s="759"/>
      <c r="BF50" s="759"/>
      <c r="BG50" s="759"/>
      <c r="BH50" s="759"/>
      <c r="BI50" s="740"/>
      <c r="BJ50" s="740"/>
      <c r="BK50" s="241" t="s">
        <v>180</v>
      </c>
      <c r="BL50" s="241"/>
      <c r="BM50" s="2523"/>
      <c r="BN50" s="2523"/>
      <c r="BO50" s="2523"/>
      <c r="BP50" s="2523"/>
      <c r="BQ50" s="2523"/>
      <c r="BR50" s="2523"/>
      <c r="BS50" s="2523">
        <f>BS41+BS44+BS47</f>
        <v>10.621852000185946</v>
      </c>
      <c r="BT50" s="2523">
        <f>BT41+BT44+BT47</f>
        <v>8.2454938114413707</v>
      </c>
      <c r="BU50" s="2523">
        <f>BU41+BU44+BU47</f>
        <v>6.6922666646451994</v>
      </c>
      <c r="BV50" s="740"/>
      <c r="BW50" s="2523">
        <f>BW41+BW44+BW47</f>
        <v>465.66400000000004</v>
      </c>
      <c r="BX50" s="2523">
        <f>BX41+BX44+BX47</f>
        <v>401.57100000000003</v>
      </c>
      <c r="BY50" s="2523">
        <f>BY41+BY44+BY47</f>
        <v>364.65600000000006</v>
      </c>
      <c r="BZ50" s="740"/>
      <c r="CA50" s="740"/>
      <c r="CB50" s="740"/>
      <c r="CC50" s="740"/>
      <c r="CD50" s="740"/>
      <c r="CE50" s="740"/>
      <c r="CF50" s="740"/>
      <c r="CG50" s="740"/>
      <c r="CH50" s="740"/>
      <c r="CI50" s="740"/>
      <c r="CJ50" s="740"/>
      <c r="CK50" s="740"/>
      <c r="CL50" s="740"/>
      <c r="CM50" s="740"/>
      <c r="CN50" s="740"/>
      <c r="CO50" s="740"/>
      <c r="CP50" s="740"/>
      <c r="CQ50" s="740"/>
      <c r="CR50" s="740"/>
      <c r="CS50" s="740"/>
      <c r="CT50" s="740"/>
      <c r="CU50" s="740"/>
      <c r="CV50" s="740"/>
      <c r="CW50" s="740"/>
      <c r="CX50" s="740"/>
      <c r="CY50" s="740"/>
      <c r="CZ50" s="740"/>
      <c r="DA50" s="740"/>
      <c r="DB50" s="740"/>
      <c r="DC50" s="740"/>
      <c r="DD50" s="740"/>
      <c r="DE50" s="740"/>
      <c r="DF50" s="740"/>
      <c r="DG50" s="740"/>
      <c r="DH50" s="740"/>
      <c r="DI50" s="740"/>
      <c r="DJ50" s="740"/>
      <c r="DK50" s="740"/>
      <c r="DL50" s="740"/>
      <c r="DM50" s="740"/>
      <c r="DN50" s="740"/>
      <c r="DO50" s="740"/>
      <c r="DP50" s="740"/>
      <c r="DQ50" s="740"/>
      <c r="DR50" s="740"/>
      <c r="DS50" s="740"/>
      <c r="DT50" s="740"/>
      <c r="DU50" s="740"/>
      <c r="DV50" s="740"/>
      <c r="DW50" s="740"/>
      <c r="DX50" s="740"/>
      <c r="DY50" s="740"/>
      <c r="DZ50" s="740"/>
      <c r="EA50" s="740"/>
      <c r="EB50" s="740"/>
      <c r="EC50" s="740"/>
      <c r="ED50" s="740"/>
      <c r="EE50" s="740"/>
      <c r="EF50" s="740"/>
      <c r="EG50" s="740"/>
      <c r="EH50" s="740"/>
      <c r="EI50" s="740"/>
      <c r="EJ50" s="740"/>
      <c r="EK50" s="740"/>
      <c r="EL50" s="740"/>
      <c r="EM50" s="740"/>
      <c r="EN50" s="740"/>
      <c r="EO50" s="740"/>
      <c r="EP50" s="740"/>
      <c r="EQ50" s="740"/>
      <c r="ER50" s="740"/>
      <c r="ES50" s="740"/>
      <c r="ET50" s="740"/>
      <c r="EU50" s="740"/>
      <c r="EV50" s="740"/>
      <c r="EW50" s="740"/>
      <c r="EX50" s="740"/>
      <c r="EY50" s="740"/>
      <c r="EZ50" s="740"/>
      <c r="FA50" s="740"/>
      <c r="FB50" s="740"/>
      <c r="FC50" s="740"/>
      <c r="FD50" s="740"/>
      <c r="FE50" s="740"/>
      <c r="FF50" s="740"/>
      <c r="FG50" s="740"/>
      <c r="FH50" s="740"/>
      <c r="FI50" s="740"/>
      <c r="FJ50" s="740"/>
      <c r="FK50" s="740"/>
      <c r="FL50" s="740"/>
      <c r="FM50" s="740"/>
      <c r="FN50" s="740"/>
      <c r="FO50" s="740"/>
      <c r="FP50" s="740"/>
      <c r="FQ50" s="740"/>
      <c r="FR50" s="740"/>
      <c r="FS50" s="740"/>
      <c r="FT50" s="740"/>
      <c r="FU50" s="740"/>
      <c r="FV50" s="740"/>
      <c r="FW50" s="740"/>
      <c r="FX50" s="740"/>
      <c r="FY50" s="740"/>
      <c r="FZ50" s="740"/>
      <c r="GA50" s="740"/>
      <c r="GB50" s="740"/>
      <c r="GC50" s="740"/>
      <c r="GD50" s="740"/>
      <c r="GE50" s="740"/>
      <c r="GF50" s="740"/>
      <c r="GG50" s="740"/>
      <c r="GH50" s="740"/>
      <c r="GI50" s="740"/>
      <c r="GJ50" s="740"/>
      <c r="GK50" s="740"/>
      <c r="GL50" s="740"/>
      <c r="GM50" s="740"/>
      <c r="GN50" s="740"/>
      <c r="GO50" s="740"/>
      <c r="GP50" s="740"/>
      <c r="GQ50" s="740"/>
      <c r="GR50" s="740"/>
      <c r="GS50" s="740"/>
      <c r="GT50" s="740"/>
      <c r="GU50" s="740"/>
      <c r="GV50" s="740"/>
      <c r="GW50" s="740"/>
    </row>
    <row r="51" spans="1:205" s="758" customFormat="1" ht="1.5" hidden="1" customHeight="1" x14ac:dyDescent="0.2">
      <c r="A51" s="2503"/>
      <c r="B51" s="739"/>
      <c r="C51" s="2358"/>
      <c r="D51" s="528"/>
      <c r="E51" s="2313"/>
      <c r="F51" s="808"/>
      <c r="G51" s="2279"/>
      <c r="H51" s="2279"/>
      <c r="I51" s="2350"/>
      <c r="J51" s="2350"/>
      <c r="K51" s="2405"/>
      <c r="L51" s="2406"/>
      <c r="M51" s="2407"/>
      <c r="N51" s="2408"/>
      <c r="O51" s="2409"/>
      <c r="P51" s="2410"/>
      <c r="Q51" s="2411"/>
      <c r="R51" s="2503"/>
      <c r="T51" s="740"/>
      <c r="U51" s="740"/>
      <c r="V51" s="740"/>
      <c r="W51" s="740"/>
      <c r="X51" s="740"/>
      <c r="Y51" s="740"/>
      <c r="Z51" s="740"/>
      <c r="AA51" s="740"/>
      <c r="AB51" s="740"/>
      <c r="AC51" s="740"/>
      <c r="AG51" s="740"/>
      <c r="AH51" s="740"/>
      <c r="AO51" s="740"/>
      <c r="AP51" s="740"/>
      <c r="AQ51" s="759"/>
      <c r="AR51" s="759"/>
      <c r="AS51" s="759"/>
      <c r="AT51" s="759"/>
      <c r="AU51" s="759"/>
      <c r="AV51" s="759"/>
      <c r="AW51" s="759"/>
      <c r="AX51" s="759"/>
      <c r="AY51" s="759"/>
      <c r="AZ51" s="759"/>
      <c r="BA51" s="759"/>
      <c r="BB51" s="759"/>
      <c r="BC51" s="759"/>
      <c r="BD51" s="759"/>
      <c r="BE51" s="759"/>
      <c r="BF51" s="759"/>
      <c r="BG51" s="759"/>
      <c r="BH51" s="759"/>
      <c r="BI51" s="740"/>
      <c r="BJ51" s="740"/>
      <c r="BK51" s="740"/>
      <c r="BL51" s="740"/>
      <c r="BM51" s="740"/>
      <c r="BN51" s="740"/>
      <c r="BO51" s="740"/>
      <c r="BP51" s="740"/>
      <c r="BQ51" s="740"/>
      <c r="BR51" s="740"/>
      <c r="BS51" s="740"/>
      <c r="BT51" s="740"/>
      <c r="BU51" s="740"/>
      <c r="BV51" s="740"/>
      <c r="BW51" s="740"/>
      <c r="BX51" s="740"/>
      <c r="BY51" s="740"/>
      <c r="BZ51" s="740"/>
      <c r="CA51" s="740"/>
      <c r="CB51" s="740"/>
      <c r="CC51" s="740"/>
      <c r="CD51" s="740"/>
      <c r="CE51" s="740"/>
      <c r="CF51" s="740"/>
      <c r="CG51" s="740"/>
      <c r="CH51" s="740"/>
      <c r="CI51" s="740"/>
      <c r="CJ51" s="740"/>
      <c r="CK51" s="740"/>
      <c r="CL51" s="740"/>
      <c r="CM51" s="740"/>
      <c r="CN51" s="740"/>
      <c r="CO51" s="740"/>
      <c r="CP51" s="740"/>
      <c r="CQ51" s="740"/>
      <c r="CR51" s="740"/>
      <c r="CS51" s="740"/>
      <c r="CT51" s="740"/>
      <c r="CU51" s="740"/>
      <c r="CV51" s="740"/>
      <c r="CW51" s="740"/>
      <c r="CX51" s="740"/>
      <c r="CY51" s="740"/>
      <c r="CZ51" s="740"/>
      <c r="DA51" s="740"/>
      <c r="DB51" s="740"/>
      <c r="DC51" s="740"/>
      <c r="DD51" s="740"/>
      <c r="DE51" s="740"/>
      <c r="DF51" s="740"/>
      <c r="DG51" s="740"/>
      <c r="DH51" s="740"/>
      <c r="DI51" s="740"/>
      <c r="DJ51" s="740"/>
      <c r="DK51" s="740"/>
      <c r="DL51" s="740"/>
      <c r="DM51" s="740"/>
      <c r="DN51" s="740"/>
      <c r="DO51" s="740"/>
      <c r="DP51" s="740"/>
      <c r="DQ51" s="740"/>
      <c r="DR51" s="740"/>
      <c r="DS51" s="740"/>
      <c r="DT51" s="740"/>
      <c r="DU51" s="740"/>
      <c r="DV51" s="740"/>
      <c r="DW51" s="740"/>
      <c r="DX51" s="740"/>
      <c r="DY51" s="740"/>
      <c r="DZ51" s="740"/>
      <c r="EA51" s="740"/>
      <c r="EB51" s="740"/>
      <c r="EC51" s="740"/>
      <c r="ED51" s="740"/>
      <c r="EE51" s="740"/>
      <c r="EF51" s="740"/>
      <c r="EG51" s="740"/>
      <c r="EH51" s="740"/>
      <c r="EI51" s="740"/>
      <c r="EJ51" s="740"/>
      <c r="EK51" s="740"/>
      <c r="EL51" s="740"/>
      <c r="EM51" s="740"/>
      <c r="EN51" s="740"/>
      <c r="EO51" s="740"/>
      <c r="EP51" s="740"/>
      <c r="EQ51" s="740"/>
      <c r="ER51" s="740"/>
      <c r="ES51" s="740"/>
      <c r="ET51" s="740"/>
      <c r="EU51" s="740"/>
      <c r="EV51" s="740"/>
      <c r="EW51" s="740"/>
      <c r="EX51" s="740"/>
      <c r="EY51" s="740"/>
      <c r="EZ51" s="740"/>
      <c r="FA51" s="740"/>
      <c r="FB51" s="740"/>
      <c r="FC51" s="740"/>
      <c r="FD51" s="740"/>
      <c r="FE51" s="740"/>
      <c r="FF51" s="740"/>
      <c r="FG51" s="740"/>
      <c r="FH51" s="740"/>
      <c r="FI51" s="740"/>
      <c r="FJ51" s="740"/>
      <c r="FK51" s="740"/>
      <c r="FL51" s="740"/>
      <c r="FM51" s="740"/>
      <c r="FN51" s="740"/>
      <c r="FO51" s="740"/>
      <c r="FP51" s="740"/>
      <c r="FQ51" s="740"/>
      <c r="FR51" s="740"/>
      <c r="FS51" s="740"/>
      <c r="FT51" s="740"/>
      <c r="FU51" s="740"/>
      <c r="FV51" s="740"/>
      <c r="FW51" s="740"/>
      <c r="FX51" s="740"/>
      <c r="FY51" s="740"/>
      <c r="FZ51" s="740"/>
      <c r="GA51" s="740"/>
      <c r="GB51" s="740"/>
      <c r="GC51" s="740"/>
      <c r="GD51" s="740"/>
      <c r="GE51" s="740"/>
      <c r="GF51" s="740"/>
      <c r="GG51" s="740"/>
      <c r="GH51" s="740"/>
      <c r="GI51" s="740"/>
      <c r="GJ51" s="740"/>
      <c r="GK51" s="740"/>
      <c r="GL51" s="740"/>
      <c r="GM51" s="740"/>
      <c r="GN51" s="740"/>
      <c r="GO51" s="740"/>
      <c r="GP51" s="740"/>
      <c r="GQ51" s="740"/>
      <c r="GR51" s="740"/>
      <c r="GS51" s="740"/>
      <c r="GT51" s="740"/>
      <c r="GU51" s="740"/>
      <c r="GV51" s="740"/>
      <c r="GW51" s="740"/>
    </row>
    <row r="52" spans="1:205" s="758" customFormat="1" ht="19.149999999999999" customHeight="1" x14ac:dyDescent="0.2">
      <c r="A52" s="2503"/>
      <c r="B52" s="739"/>
      <c r="C52" s="2358"/>
      <c r="D52" s="2412" t="s">
        <v>494</v>
      </c>
      <c r="E52" s="2313" t="s">
        <v>48</v>
      </c>
      <c r="F52" s="808"/>
      <c r="G52" s="2279"/>
      <c r="H52" s="2279"/>
      <c r="I52" s="114"/>
      <c r="J52" s="114"/>
      <c r="K52" s="2362" t="s">
        <v>49</v>
      </c>
      <c r="L52" s="2678">
        <f>K116</f>
        <v>24.173000000000002</v>
      </c>
      <c r="M52" s="2407"/>
      <c r="N52" s="2680">
        <f>M116</f>
        <v>23.47293333333333</v>
      </c>
      <c r="O52" s="2409"/>
      <c r="P52" s="2680">
        <f>O116</f>
        <v>22.671466666666667</v>
      </c>
      <c r="Q52" s="2411"/>
      <c r="R52" s="2503"/>
      <c r="T52" s="740"/>
      <c r="U52" s="740"/>
      <c r="V52" s="740"/>
      <c r="W52" s="740"/>
      <c r="X52" s="740"/>
      <c r="Y52" s="740"/>
      <c r="Z52" s="740"/>
      <c r="AA52" s="740"/>
      <c r="AB52" s="740"/>
      <c r="AC52" s="740"/>
      <c r="AG52" s="740"/>
      <c r="AH52" s="740"/>
      <c r="AI52" s="740"/>
      <c r="AJ52" s="740"/>
      <c r="AK52" s="740"/>
      <c r="AL52" s="740"/>
      <c r="AM52" s="740"/>
      <c r="AN52" s="740"/>
      <c r="AO52" s="740"/>
      <c r="AP52" s="740"/>
      <c r="AQ52" s="759"/>
      <c r="AR52" s="759"/>
      <c r="AS52" s="759"/>
      <c r="AT52" s="759"/>
      <c r="AU52" s="759"/>
      <c r="AV52" s="759"/>
      <c r="AW52" s="759"/>
      <c r="AX52" s="759"/>
      <c r="AY52" s="759"/>
      <c r="AZ52" s="759"/>
      <c r="BA52" s="759"/>
      <c r="BB52" s="759"/>
      <c r="BC52" s="759"/>
      <c r="BD52" s="759"/>
      <c r="BE52" s="759"/>
      <c r="BF52" s="759"/>
      <c r="BG52" s="759"/>
      <c r="BH52" s="759"/>
      <c r="BI52" s="740"/>
      <c r="BJ52" s="740"/>
      <c r="BK52" s="740"/>
      <c r="BL52" s="740"/>
      <c r="BM52" s="740"/>
      <c r="BN52" s="740"/>
      <c r="BO52" s="740"/>
      <c r="BP52" s="740"/>
      <c r="BQ52" s="740"/>
      <c r="BR52" s="740"/>
      <c r="BS52" s="740"/>
      <c r="BT52" s="740"/>
      <c r="BU52" s="740"/>
      <c r="BV52" s="740"/>
      <c r="BW52" s="740"/>
      <c r="BX52" s="740"/>
      <c r="BY52" s="740"/>
      <c r="BZ52" s="740"/>
      <c r="CA52" s="740"/>
      <c r="CB52" s="740"/>
      <c r="CC52" s="740"/>
      <c r="CD52" s="740"/>
      <c r="CE52" s="740"/>
      <c r="CF52" s="740"/>
      <c r="CG52" s="740"/>
      <c r="CH52" s="740"/>
      <c r="CI52" s="740"/>
      <c r="CJ52" s="740"/>
      <c r="CK52" s="740"/>
      <c r="CL52" s="740"/>
      <c r="CM52" s="740"/>
      <c r="CN52" s="740"/>
      <c r="CO52" s="740"/>
      <c r="CP52" s="740"/>
      <c r="CQ52" s="740"/>
      <c r="CR52" s="740"/>
      <c r="CS52" s="740"/>
      <c r="CT52" s="740"/>
      <c r="CU52" s="740"/>
      <c r="CV52" s="740"/>
      <c r="CW52" s="740"/>
      <c r="CX52" s="740"/>
      <c r="CY52" s="740"/>
      <c r="CZ52" s="740"/>
      <c r="DA52" s="740"/>
      <c r="DB52" s="740"/>
      <c r="DC52" s="740"/>
      <c r="DD52" s="740"/>
      <c r="DE52" s="740"/>
      <c r="DF52" s="740"/>
      <c r="DG52" s="740"/>
      <c r="DH52" s="740"/>
      <c r="DI52" s="740"/>
      <c r="DJ52" s="740"/>
      <c r="DK52" s="740"/>
      <c r="DL52" s="740"/>
      <c r="DM52" s="740"/>
      <c r="DN52" s="740"/>
      <c r="DO52" s="740"/>
      <c r="DP52" s="740"/>
      <c r="DQ52" s="740"/>
      <c r="DR52" s="740"/>
      <c r="DS52" s="740"/>
      <c r="DT52" s="740"/>
      <c r="DU52" s="740"/>
      <c r="DV52" s="740"/>
      <c r="DW52" s="740"/>
      <c r="DX52" s="740"/>
      <c r="DY52" s="740"/>
      <c r="DZ52" s="740"/>
      <c r="EA52" s="740"/>
      <c r="EB52" s="740"/>
      <c r="EC52" s="740"/>
      <c r="ED52" s="740"/>
      <c r="EE52" s="740"/>
      <c r="EF52" s="740"/>
      <c r="EG52" s="740"/>
      <c r="EH52" s="740"/>
      <c r="EI52" s="740"/>
      <c r="EJ52" s="740"/>
      <c r="EK52" s="740"/>
      <c r="EL52" s="740"/>
      <c r="EM52" s="740"/>
      <c r="EN52" s="740"/>
      <c r="EO52" s="740"/>
      <c r="EP52" s="740"/>
      <c r="EQ52" s="740"/>
      <c r="ER52" s="740"/>
      <c r="ES52" s="740"/>
      <c r="ET52" s="740"/>
      <c r="EU52" s="740"/>
      <c r="EV52" s="740"/>
      <c r="EW52" s="740"/>
      <c r="EX52" s="740"/>
      <c r="EY52" s="740"/>
      <c r="EZ52" s="740"/>
      <c r="FA52" s="740"/>
      <c r="FB52" s="740"/>
      <c r="FC52" s="740"/>
      <c r="FD52" s="740"/>
      <c r="FE52" s="740"/>
      <c r="FF52" s="740"/>
      <c r="FG52" s="740"/>
      <c r="FH52" s="740"/>
      <c r="FI52" s="740"/>
      <c r="FJ52" s="740"/>
      <c r="FK52" s="740"/>
      <c r="FL52" s="740"/>
      <c r="FM52" s="740"/>
      <c r="FN52" s="740"/>
      <c r="FO52" s="740"/>
      <c r="FP52" s="740"/>
      <c r="FQ52" s="740"/>
      <c r="FR52" s="740"/>
      <c r="FS52" s="740"/>
      <c r="FT52" s="740"/>
      <c r="FU52" s="740"/>
      <c r="FV52" s="740"/>
      <c r="FW52" s="740"/>
      <c r="FX52" s="740"/>
      <c r="FY52" s="740"/>
      <c r="FZ52" s="740"/>
      <c r="GA52" s="740"/>
      <c r="GB52" s="740"/>
      <c r="GC52" s="740"/>
      <c r="GD52" s="740"/>
      <c r="GE52" s="740"/>
      <c r="GF52" s="740"/>
      <c r="GG52" s="740"/>
      <c r="GH52" s="740"/>
      <c r="GI52" s="740"/>
      <c r="GJ52" s="740"/>
      <c r="GK52" s="740"/>
      <c r="GL52" s="740"/>
      <c r="GM52" s="740"/>
      <c r="GN52" s="740"/>
      <c r="GO52" s="740"/>
      <c r="GP52" s="740"/>
      <c r="GQ52" s="740"/>
      <c r="GR52" s="740"/>
      <c r="GS52" s="740"/>
      <c r="GT52" s="740"/>
      <c r="GU52" s="740"/>
      <c r="GV52" s="740"/>
      <c r="GW52" s="740"/>
    </row>
    <row r="53" spans="1:205" s="758" customFormat="1" ht="19.149999999999999" customHeight="1" x14ac:dyDescent="0.25">
      <c r="A53" s="2503"/>
      <c r="B53" s="739"/>
      <c r="C53" s="2675"/>
      <c r="D53" s="2685" t="s">
        <v>592</v>
      </c>
      <c r="E53" s="2686"/>
      <c r="F53" s="2686"/>
      <c r="G53" s="2687"/>
      <c r="H53" s="2688"/>
      <c r="I53" s="2686"/>
      <c r="J53" s="2689"/>
      <c r="K53" s="2690" t="s">
        <v>373</v>
      </c>
      <c r="L53" s="2679">
        <f>BS50</f>
        <v>10.621852000185946</v>
      </c>
      <c r="M53" s="2683">
        <f>L53*Stammdaten!$P$39</f>
        <v>185.88241000325405</v>
      </c>
      <c r="N53" s="2682">
        <f>BT50</f>
        <v>8.2454938114413707</v>
      </c>
      <c r="O53" s="2684">
        <f>N53*Stammdaten!$P$39</f>
        <v>144.29614170022398</v>
      </c>
      <c r="P53" s="2681">
        <f>BU50</f>
        <v>6.6922666646451994</v>
      </c>
      <c r="Q53" s="2707">
        <f>P53*Stammdaten!$P$39</f>
        <v>117.11466663129099</v>
      </c>
      <c r="R53" s="2503"/>
      <c r="T53" s="740"/>
      <c r="U53" s="740"/>
      <c r="V53" s="740"/>
      <c r="W53" s="740"/>
      <c r="X53" s="740"/>
      <c r="Y53" s="740"/>
      <c r="Z53" s="740"/>
      <c r="AA53" s="740"/>
      <c r="AB53" s="740"/>
      <c r="AC53" s="740"/>
      <c r="AG53" s="740"/>
      <c r="AH53" s="740"/>
      <c r="AI53" s="740"/>
      <c r="AJ53" s="740"/>
      <c r="AK53" s="740"/>
      <c r="AL53" s="740"/>
      <c r="AM53" s="740"/>
      <c r="AN53" s="740"/>
      <c r="AO53" s="740"/>
      <c r="AP53" s="740"/>
      <c r="AQ53" s="759"/>
      <c r="AR53" s="759"/>
      <c r="AS53" s="759"/>
      <c r="AT53" s="759"/>
      <c r="AU53" s="759"/>
      <c r="AV53" s="759"/>
      <c r="AW53" s="759"/>
      <c r="AX53" s="759"/>
      <c r="AY53" s="759"/>
      <c r="AZ53" s="759"/>
      <c r="BA53" s="759"/>
      <c r="BB53" s="759"/>
      <c r="BC53" s="759"/>
      <c r="BD53" s="759"/>
      <c r="BE53" s="759"/>
      <c r="BF53" s="759"/>
      <c r="BG53" s="759"/>
      <c r="BH53" s="759"/>
      <c r="BI53" s="740"/>
      <c r="BJ53" s="740"/>
      <c r="BK53" s="740"/>
      <c r="BL53" s="740"/>
      <c r="BM53" s="740"/>
      <c r="BN53" s="740"/>
      <c r="BO53" s="740"/>
      <c r="BP53" s="740"/>
      <c r="BQ53" s="740"/>
      <c r="BR53" s="740"/>
      <c r="BS53" s="740"/>
      <c r="BT53" s="740"/>
      <c r="BU53" s="740"/>
      <c r="BV53" s="740"/>
      <c r="BW53" s="740"/>
      <c r="BX53" s="740"/>
      <c r="BY53" s="740"/>
      <c r="BZ53" s="740"/>
      <c r="CA53" s="740"/>
      <c r="CB53" s="740"/>
      <c r="CC53" s="740"/>
      <c r="CD53" s="740"/>
      <c r="CE53" s="740"/>
      <c r="CF53" s="740"/>
      <c r="CG53" s="740"/>
      <c r="CH53" s="740"/>
      <c r="CI53" s="740"/>
      <c r="CJ53" s="740"/>
      <c r="CK53" s="740"/>
      <c r="CL53" s="740"/>
      <c r="CM53" s="740"/>
      <c r="CN53" s="740"/>
      <c r="CO53" s="740"/>
      <c r="CP53" s="740"/>
      <c r="CQ53" s="740"/>
      <c r="CR53" s="740"/>
      <c r="CS53" s="740"/>
      <c r="CT53" s="740"/>
      <c r="CU53" s="740"/>
      <c r="CV53" s="740"/>
      <c r="CW53" s="740"/>
      <c r="CX53" s="740"/>
      <c r="CY53" s="740"/>
      <c r="CZ53" s="740"/>
      <c r="DA53" s="740"/>
      <c r="DB53" s="740"/>
      <c r="DC53" s="740"/>
      <c r="DD53" s="740"/>
      <c r="DE53" s="740"/>
      <c r="DF53" s="740"/>
      <c r="DG53" s="740"/>
      <c r="DH53" s="740"/>
      <c r="DI53" s="740"/>
      <c r="DJ53" s="740"/>
      <c r="DK53" s="740"/>
      <c r="DL53" s="740"/>
      <c r="DM53" s="740"/>
      <c r="DN53" s="740"/>
      <c r="DO53" s="740"/>
      <c r="DP53" s="740"/>
      <c r="DQ53" s="740"/>
      <c r="DR53" s="740"/>
      <c r="DS53" s="740"/>
      <c r="DT53" s="740"/>
      <c r="DU53" s="740"/>
      <c r="DV53" s="740"/>
      <c r="DW53" s="740"/>
      <c r="DX53" s="740"/>
      <c r="DY53" s="740"/>
      <c r="DZ53" s="740"/>
      <c r="EA53" s="740"/>
      <c r="EB53" s="740"/>
      <c r="EC53" s="740"/>
      <c r="ED53" s="740"/>
      <c r="EE53" s="740"/>
      <c r="EF53" s="740"/>
      <c r="EG53" s="740"/>
      <c r="EH53" s="740"/>
      <c r="EI53" s="740"/>
      <c r="EJ53" s="740"/>
      <c r="EK53" s="740"/>
      <c r="EL53" s="740"/>
      <c r="EM53" s="740"/>
      <c r="EN53" s="740"/>
      <c r="EO53" s="740"/>
      <c r="EP53" s="740"/>
      <c r="EQ53" s="740"/>
      <c r="ER53" s="740"/>
      <c r="ES53" s="740"/>
      <c r="ET53" s="740"/>
      <c r="EU53" s="740"/>
      <c r="EV53" s="740"/>
      <c r="EW53" s="740"/>
      <c r="EX53" s="740"/>
      <c r="EY53" s="740"/>
      <c r="EZ53" s="740"/>
      <c r="FA53" s="740"/>
      <c r="FB53" s="740"/>
      <c r="FC53" s="740"/>
      <c r="FD53" s="740"/>
      <c r="FE53" s="740"/>
      <c r="FF53" s="740"/>
      <c r="FG53" s="740"/>
      <c r="FH53" s="740"/>
      <c r="FI53" s="740"/>
      <c r="FJ53" s="740"/>
      <c r="FK53" s="740"/>
      <c r="FL53" s="740"/>
      <c r="FM53" s="740"/>
      <c r="FN53" s="740"/>
      <c r="FO53" s="740"/>
      <c r="FP53" s="740"/>
      <c r="FQ53" s="740"/>
      <c r="FR53" s="740"/>
      <c r="FS53" s="740"/>
      <c r="FT53" s="740"/>
      <c r="FU53" s="740"/>
      <c r="FV53" s="740"/>
      <c r="FW53" s="740"/>
      <c r="FX53" s="740"/>
      <c r="FY53" s="740"/>
      <c r="FZ53" s="740"/>
      <c r="GA53" s="740"/>
      <c r="GB53" s="740"/>
      <c r="GC53" s="740"/>
      <c r="GD53" s="740"/>
      <c r="GE53" s="740"/>
      <c r="GF53" s="740"/>
      <c r="GG53" s="740"/>
      <c r="GH53" s="740"/>
      <c r="GI53" s="740"/>
      <c r="GJ53" s="740"/>
      <c r="GK53" s="740"/>
      <c r="GL53" s="740"/>
      <c r="GM53" s="740"/>
      <c r="GN53" s="740"/>
      <c r="GO53" s="740"/>
      <c r="GP53" s="740"/>
      <c r="GQ53" s="740"/>
      <c r="GR53" s="740"/>
      <c r="GS53" s="740"/>
      <c r="GT53" s="740"/>
      <c r="GU53" s="740"/>
      <c r="GV53" s="740"/>
      <c r="GW53" s="740"/>
    </row>
    <row r="54" spans="1:205" ht="22.15" customHeight="1" x14ac:dyDescent="0.2">
      <c r="A54" s="2503"/>
      <c r="C54" s="2344"/>
      <c r="D54" s="642" t="s">
        <v>50</v>
      </c>
      <c r="E54" s="2413"/>
      <c r="F54" s="2342"/>
      <c r="G54" s="2342"/>
      <c r="H54" s="2342"/>
      <c r="I54" s="2276"/>
      <c r="J54" s="2342"/>
      <c r="K54" s="2398" t="s">
        <v>989</v>
      </c>
      <c r="L54" s="2344"/>
      <c r="M54" s="2345">
        <f>O54</f>
        <v>161.45325</v>
      </c>
      <c r="N54" s="2346"/>
      <c r="O54" s="2347">
        <f>Stammdaten!S73</f>
        <v>161.45325</v>
      </c>
      <c r="P54" s="2414"/>
      <c r="Q54" s="2349">
        <f>O54</f>
        <v>161.45325</v>
      </c>
      <c r="R54" s="2503"/>
      <c r="T54" s="740"/>
      <c r="U54" s="740"/>
      <c r="AK54" s="740"/>
      <c r="AL54" s="740"/>
      <c r="AM54" s="740"/>
      <c r="AN54" s="740"/>
      <c r="AO54" s="740"/>
      <c r="AP54" s="740"/>
      <c r="AQ54" s="740"/>
      <c r="AR54" s="740"/>
      <c r="AS54" s="740"/>
      <c r="AT54" s="740"/>
      <c r="AU54" s="740"/>
      <c r="AV54" s="740"/>
      <c r="AW54" s="740"/>
      <c r="AX54" s="740"/>
      <c r="AY54" s="740"/>
      <c r="AZ54" s="740"/>
      <c r="BA54" s="740"/>
      <c r="BB54" s="740"/>
      <c r="BC54" s="740"/>
      <c r="BD54" s="740"/>
      <c r="BE54" s="740"/>
      <c r="BF54" s="740"/>
      <c r="BG54" s="740"/>
      <c r="BH54" s="740"/>
      <c r="BI54" s="740"/>
      <c r="BJ54" s="740"/>
      <c r="BK54" s="740"/>
      <c r="BL54" s="740"/>
      <c r="BM54" s="740"/>
      <c r="BN54" s="740"/>
      <c r="BO54" s="740"/>
      <c r="BP54" s="740"/>
      <c r="BQ54" s="740"/>
      <c r="BR54" s="740"/>
      <c r="BS54" s="740"/>
      <c r="BT54" s="740"/>
      <c r="BU54" s="740"/>
      <c r="BV54" s="740"/>
      <c r="BW54" s="740"/>
      <c r="BX54" s="740"/>
      <c r="BY54" s="740"/>
      <c r="BZ54" s="740"/>
      <c r="CA54" s="740"/>
      <c r="CB54" s="740"/>
      <c r="CC54" s="740"/>
      <c r="CD54" s="740"/>
      <c r="CE54" s="740"/>
      <c r="CF54" s="740"/>
      <c r="CG54" s="740"/>
      <c r="CH54" s="740"/>
      <c r="CI54" s="740"/>
      <c r="CJ54" s="740"/>
      <c r="CK54" s="740"/>
      <c r="CL54" s="740"/>
      <c r="CM54" s="740"/>
      <c r="CN54" s="740"/>
      <c r="CO54" s="740"/>
      <c r="CP54" s="740"/>
      <c r="CQ54" s="740"/>
      <c r="CR54" s="740"/>
      <c r="CS54" s="740"/>
      <c r="CT54" s="740"/>
      <c r="CU54" s="740"/>
      <c r="CV54" s="740"/>
      <c r="CW54" s="740"/>
      <c r="CX54" s="740"/>
      <c r="CY54" s="740"/>
      <c r="CZ54" s="740"/>
      <c r="DA54" s="740"/>
      <c r="DB54" s="740"/>
      <c r="DC54" s="740"/>
      <c r="DD54" s="740"/>
      <c r="DE54" s="740"/>
      <c r="DF54" s="740"/>
      <c r="DG54" s="740"/>
      <c r="DH54" s="740"/>
      <c r="DI54" s="740"/>
      <c r="DJ54" s="740"/>
      <c r="DK54" s="740"/>
      <c r="DL54" s="740"/>
      <c r="DM54" s="740"/>
      <c r="DN54" s="740"/>
      <c r="DO54" s="740"/>
      <c r="DP54" s="740"/>
      <c r="DQ54" s="740"/>
      <c r="DR54" s="740"/>
      <c r="DS54" s="740"/>
      <c r="DT54" s="740"/>
      <c r="DU54" s="740"/>
      <c r="DV54" s="740"/>
      <c r="DW54" s="740"/>
      <c r="DX54" s="740"/>
      <c r="DY54" s="740"/>
      <c r="DZ54" s="740"/>
      <c r="EA54" s="740"/>
      <c r="EB54" s="740"/>
      <c r="EC54" s="740"/>
      <c r="ED54" s="740"/>
      <c r="EE54" s="740"/>
      <c r="EF54" s="740"/>
      <c r="EG54" s="740"/>
      <c r="EH54" s="740"/>
      <c r="EI54" s="740"/>
      <c r="EJ54" s="740"/>
      <c r="EK54" s="740"/>
      <c r="EL54" s="740"/>
      <c r="EM54" s="740"/>
      <c r="EN54" s="740"/>
      <c r="EO54" s="740"/>
      <c r="EP54" s="740"/>
      <c r="EQ54" s="740"/>
      <c r="ER54" s="740"/>
      <c r="ES54" s="740"/>
      <c r="ET54" s="740"/>
      <c r="EU54" s="740"/>
      <c r="EV54" s="740"/>
      <c r="EW54" s="740"/>
      <c r="EX54" s="740"/>
      <c r="EY54" s="740"/>
      <c r="EZ54" s="740"/>
      <c r="FA54" s="740"/>
      <c r="FB54" s="740"/>
      <c r="FC54" s="740"/>
      <c r="FD54" s="740"/>
      <c r="FE54" s="740"/>
      <c r="FF54" s="740"/>
      <c r="FG54" s="740"/>
      <c r="FH54" s="740"/>
      <c r="FI54" s="740"/>
      <c r="FJ54" s="740"/>
      <c r="FK54" s="740"/>
      <c r="FL54" s="740"/>
      <c r="FM54" s="740"/>
      <c r="FN54" s="740"/>
      <c r="FO54" s="740"/>
      <c r="FP54" s="740"/>
      <c r="FQ54" s="740"/>
      <c r="FR54" s="740"/>
      <c r="FS54" s="740"/>
      <c r="FT54" s="740"/>
      <c r="FU54" s="740"/>
      <c r="FV54" s="740"/>
      <c r="FW54" s="740"/>
      <c r="FX54" s="740"/>
      <c r="FY54" s="740"/>
      <c r="FZ54" s="740"/>
      <c r="GA54" s="740"/>
      <c r="GB54" s="740"/>
      <c r="GC54" s="740"/>
      <c r="GD54" s="740"/>
      <c r="GE54" s="740"/>
      <c r="GF54" s="740"/>
      <c r="GG54" s="740"/>
      <c r="GH54" s="740"/>
      <c r="GI54" s="740"/>
      <c r="GJ54" s="740"/>
      <c r="GK54" s="740"/>
      <c r="GL54" s="740"/>
      <c r="GM54" s="740"/>
      <c r="GN54" s="740"/>
      <c r="GO54" s="740"/>
      <c r="GP54" s="740"/>
      <c r="GQ54" s="740"/>
      <c r="GR54" s="740"/>
      <c r="GS54" s="740"/>
      <c r="GT54" s="740"/>
      <c r="GU54" s="740"/>
      <c r="GV54" s="740"/>
      <c r="GW54" s="740"/>
    </row>
    <row r="55" spans="1:205" ht="22.15" customHeight="1" x14ac:dyDescent="0.2">
      <c r="A55" s="2503"/>
      <c r="C55" s="2415"/>
      <c r="D55" s="2412" t="s">
        <v>494</v>
      </c>
      <c r="E55" s="528" t="s">
        <v>524</v>
      </c>
      <c r="F55" s="2279"/>
      <c r="G55" s="2279"/>
      <c r="H55" s="2279"/>
      <c r="I55" s="444"/>
      <c r="J55" s="2279"/>
      <c r="K55" s="2416" t="s">
        <v>525</v>
      </c>
      <c r="L55" s="2417">
        <f>1/L8</f>
        <v>2.5</v>
      </c>
      <c r="M55" s="2418"/>
      <c r="N55" s="2419">
        <f>1/N8</f>
        <v>2.3333333333333335</v>
      </c>
      <c r="O55" s="2420"/>
      <c r="P55" s="2421">
        <f>1/P8</f>
        <v>2.1666666666666665</v>
      </c>
      <c r="Q55" s="2422"/>
      <c r="R55" s="2503"/>
      <c r="T55" s="740"/>
      <c r="U55" s="740"/>
      <c r="AK55" s="740"/>
      <c r="AL55" s="740"/>
      <c r="AM55" s="740"/>
      <c r="AN55" s="740"/>
      <c r="AO55" s="740"/>
      <c r="AP55" s="740"/>
      <c r="AQ55" s="740"/>
      <c r="AR55" s="740"/>
      <c r="AS55" s="740"/>
      <c r="AT55" s="740"/>
      <c r="AU55" s="740"/>
      <c r="AV55" s="740"/>
      <c r="AW55" s="740"/>
      <c r="AX55" s="740"/>
      <c r="AY55" s="740"/>
      <c r="AZ55" s="740"/>
      <c r="BA55" s="740"/>
      <c r="BB55" s="740"/>
      <c r="BC55" s="740"/>
      <c r="BD55" s="740"/>
      <c r="BE55" s="740"/>
      <c r="BF55" s="740"/>
      <c r="BG55" s="740"/>
      <c r="BH55" s="740"/>
      <c r="BI55" s="740"/>
      <c r="BJ55" s="740"/>
      <c r="BK55" s="740"/>
      <c r="BL55" s="740"/>
      <c r="BM55" s="740"/>
      <c r="BN55" s="740"/>
      <c r="BO55" s="740"/>
      <c r="BP55" s="740"/>
      <c r="BQ55" s="740"/>
      <c r="BR55" s="740"/>
      <c r="BS55" s="740"/>
      <c r="BT55" s="740"/>
      <c r="BU55" s="740"/>
      <c r="BV55" s="740"/>
      <c r="BW55" s="740"/>
      <c r="BX55" s="740"/>
      <c r="BY55" s="740"/>
      <c r="BZ55" s="740"/>
      <c r="CA55" s="740"/>
      <c r="CB55" s="740"/>
      <c r="CC55" s="740"/>
      <c r="CD55" s="740"/>
      <c r="CE55" s="740"/>
      <c r="CF55" s="740"/>
      <c r="CG55" s="740"/>
      <c r="CH55" s="740"/>
      <c r="CI55" s="740"/>
      <c r="CJ55" s="740"/>
      <c r="CK55" s="740"/>
      <c r="CL55" s="740"/>
      <c r="CM55" s="740"/>
      <c r="CN55" s="740"/>
      <c r="CO55" s="740"/>
      <c r="CP55" s="740"/>
      <c r="CQ55" s="740"/>
      <c r="CR55" s="740"/>
      <c r="CS55" s="740"/>
      <c r="CT55" s="740"/>
      <c r="CU55" s="740"/>
      <c r="CV55" s="740"/>
      <c r="CW55" s="740"/>
      <c r="CX55" s="740"/>
      <c r="CY55" s="740"/>
      <c r="CZ55" s="740"/>
      <c r="DA55" s="740"/>
      <c r="DB55" s="740"/>
      <c r="DC55" s="740"/>
      <c r="DD55" s="740"/>
      <c r="DE55" s="740"/>
      <c r="DF55" s="740"/>
      <c r="DG55" s="740"/>
      <c r="DH55" s="740"/>
      <c r="DI55" s="740"/>
      <c r="DJ55" s="740"/>
      <c r="DK55" s="740"/>
      <c r="DL55" s="740"/>
      <c r="DM55" s="740"/>
      <c r="DN55" s="740"/>
      <c r="DO55" s="740"/>
      <c r="DP55" s="740"/>
      <c r="DQ55" s="740"/>
      <c r="DR55" s="740"/>
      <c r="DS55" s="740"/>
      <c r="DT55" s="740"/>
      <c r="DU55" s="740"/>
      <c r="DV55" s="740"/>
      <c r="DW55" s="740"/>
      <c r="DX55" s="740"/>
      <c r="DY55" s="740"/>
      <c r="DZ55" s="740"/>
      <c r="EA55" s="740"/>
      <c r="EB55" s="740"/>
      <c r="EC55" s="740"/>
      <c r="ED55" s="740"/>
      <c r="EE55" s="740"/>
      <c r="EF55" s="740"/>
      <c r="EG55" s="740"/>
      <c r="EH55" s="740"/>
      <c r="EI55" s="740"/>
      <c r="EJ55" s="740"/>
      <c r="EK55" s="740"/>
      <c r="EL55" s="740"/>
      <c r="EM55" s="740"/>
      <c r="EN55" s="740"/>
      <c r="EO55" s="740"/>
      <c r="EP55" s="740"/>
      <c r="EQ55" s="740"/>
      <c r="ER55" s="740"/>
      <c r="ES55" s="740"/>
      <c r="ET55" s="740"/>
      <c r="EU55" s="740"/>
      <c r="EV55" s="740"/>
      <c r="EW55" s="740"/>
      <c r="EX55" s="740"/>
      <c r="EY55" s="740"/>
      <c r="EZ55" s="740"/>
      <c r="FA55" s="740"/>
      <c r="FB55" s="740"/>
      <c r="FC55" s="740"/>
      <c r="FD55" s="740"/>
      <c r="FE55" s="740"/>
      <c r="FF55" s="740"/>
      <c r="FG55" s="740"/>
      <c r="FH55" s="740"/>
      <c r="FI55" s="740"/>
      <c r="FJ55" s="740"/>
      <c r="FK55" s="740"/>
      <c r="FL55" s="740"/>
      <c r="FM55" s="740"/>
      <c r="FN55" s="740"/>
      <c r="FO55" s="740"/>
      <c r="FP55" s="740"/>
      <c r="FQ55" s="740"/>
      <c r="FR55" s="740"/>
      <c r="FS55" s="740"/>
      <c r="FT55" s="740"/>
      <c r="FU55" s="740"/>
      <c r="FV55" s="740"/>
      <c r="FW55" s="740"/>
      <c r="FX55" s="740"/>
      <c r="FY55" s="740"/>
      <c r="FZ55" s="740"/>
      <c r="GA55" s="740"/>
      <c r="GB55" s="740"/>
      <c r="GC55" s="740"/>
      <c r="GD55" s="740"/>
      <c r="GE55" s="740"/>
      <c r="GF55" s="740"/>
      <c r="GG55" s="740"/>
      <c r="GH55" s="740"/>
      <c r="GI55" s="740"/>
      <c r="GJ55" s="740"/>
      <c r="GK55" s="740"/>
      <c r="GL55" s="740"/>
      <c r="GM55" s="740"/>
      <c r="GN55" s="740"/>
      <c r="GO55" s="740"/>
      <c r="GP55" s="740"/>
      <c r="GQ55" s="740"/>
      <c r="GR55" s="740"/>
      <c r="GS55" s="740"/>
      <c r="GT55" s="740"/>
      <c r="GU55" s="740"/>
      <c r="GV55" s="740"/>
      <c r="GW55" s="740"/>
    </row>
    <row r="56" spans="1:205" ht="22.15" customHeight="1" x14ac:dyDescent="0.2">
      <c r="A56" s="2503"/>
      <c r="C56" s="2423"/>
      <c r="D56" s="960" t="s">
        <v>52</v>
      </c>
      <c r="E56" s="2424"/>
      <c r="F56" s="2303"/>
      <c r="G56" s="2303"/>
      <c r="H56" s="2303"/>
      <c r="I56" s="2425"/>
      <c r="J56" s="2303"/>
      <c r="K56" s="2426" t="s">
        <v>989</v>
      </c>
      <c r="L56" s="2427"/>
      <c r="M56" s="2428">
        <f>O56</f>
        <v>22.971958333333333</v>
      </c>
      <c r="N56" s="2429"/>
      <c r="O56" s="2430">
        <f>Stammdaten!W73</f>
        <v>22.971958333333333</v>
      </c>
      <c r="P56" s="2431"/>
      <c r="Q56" s="2432">
        <f>O56</f>
        <v>22.971958333333333</v>
      </c>
      <c r="R56" s="2503"/>
      <c r="T56" s="740"/>
      <c r="U56" s="740"/>
      <c r="AK56" s="740"/>
      <c r="AL56" s="740"/>
      <c r="AM56" s="740"/>
      <c r="AN56" s="740"/>
      <c r="AO56" s="740"/>
      <c r="AP56" s="740"/>
      <c r="AQ56" s="740"/>
      <c r="AR56" s="740"/>
      <c r="AS56" s="740"/>
      <c r="AT56" s="740"/>
      <c r="AU56" s="740"/>
      <c r="AV56" s="740"/>
      <c r="AW56" s="740"/>
      <c r="AX56" s="740"/>
      <c r="AY56" s="740"/>
      <c r="AZ56" s="740"/>
      <c r="BA56" s="740"/>
      <c r="BB56" s="740"/>
      <c r="BC56" s="740"/>
      <c r="BD56" s="740"/>
      <c r="BE56" s="740"/>
      <c r="BF56" s="740"/>
      <c r="BG56" s="740"/>
      <c r="BH56" s="740"/>
      <c r="BI56" s="740"/>
      <c r="BJ56" s="740"/>
      <c r="BK56" s="740"/>
      <c r="BL56" s="740"/>
      <c r="BM56" s="740"/>
      <c r="BN56" s="740"/>
      <c r="BO56" s="740"/>
      <c r="BP56" s="740"/>
      <c r="BQ56" s="740"/>
      <c r="BR56" s="740"/>
      <c r="BS56" s="740"/>
      <c r="BT56" s="740"/>
      <c r="BU56" s="740"/>
      <c r="BV56" s="740"/>
      <c r="BW56" s="740"/>
      <c r="BX56" s="740"/>
      <c r="BY56" s="740"/>
      <c r="BZ56" s="740"/>
      <c r="CA56" s="740"/>
      <c r="CB56" s="740"/>
      <c r="CC56" s="740"/>
      <c r="CD56" s="740"/>
      <c r="CE56" s="740"/>
      <c r="CF56" s="740"/>
      <c r="CG56" s="740"/>
      <c r="CH56" s="740"/>
      <c r="CI56" s="740"/>
      <c r="CJ56" s="740"/>
      <c r="CK56" s="740"/>
      <c r="CL56" s="740"/>
      <c r="CM56" s="740"/>
      <c r="CN56" s="740"/>
      <c r="CO56" s="740"/>
      <c r="CP56" s="740"/>
      <c r="CQ56" s="740"/>
      <c r="CR56" s="740"/>
      <c r="CS56" s="740"/>
      <c r="CT56" s="740"/>
      <c r="CU56" s="740"/>
      <c r="CV56" s="740"/>
      <c r="CW56" s="740"/>
      <c r="CX56" s="740"/>
      <c r="CY56" s="740"/>
      <c r="CZ56" s="740"/>
      <c r="DA56" s="740"/>
      <c r="DB56" s="740"/>
      <c r="DC56" s="740"/>
      <c r="DD56" s="740"/>
      <c r="DE56" s="740"/>
      <c r="DF56" s="740"/>
      <c r="DG56" s="740"/>
      <c r="DH56" s="740"/>
      <c r="DI56" s="740"/>
      <c r="DJ56" s="740"/>
      <c r="DK56" s="740"/>
      <c r="DL56" s="740"/>
      <c r="DM56" s="740"/>
      <c r="DN56" s="740"/>
      <c r="DO56" s="740"/>
      <c r="DP56" s="740"/>
      <c r="DQ56" s="740"/>
      <c r="DR56" s="740"/>
      <c r="DS56" s="740"/>
      <c r="DT56" s="740"/>
      <c r="DU56" s="740"/>
      <c r="DV56" s="740"/>
      <c r="DW56" s="740"/>
      <c r="DX56" s="740"/>
      <c r="DY56" s="740"/>
      <c r="DZ56" s="740"/>
      <c r="EA56" s="740"/>
      <c r="EB56" s="740"/>
      <c r="EC56" s="740"/>
      <c r="ED56" s="740"/>
      <c r="EE56" s="740"/>
      <c r="EF56" s="740"/>
      <c r="EG56" s="740"/>
      <c r="EH56" s="740"/>
      <c r="EI56" s="740"/>
      <c r="EJ56" s="740"/>
      <c r="EK56" s="740"/>
      <c r="EL56" s="740"/>
      <c r="EM56" s="740"/>
      <c r="EN56" s="740"/>
      <c r="EO56" s="740"/>
      <c r="EP56" s="740"/>
      <c r="EQ56" s="740"/>
      <c r="ER56" s="740"/>
      <c r="ES56" s="740"/>
      <c r="ET56" s="740"/>
      <c r="EU56" s="740"/>
      <c r="EV56" s="740"/>
      <c r="EW56" s="740"/>
      <c r="EX56" s="740"/>
      <c r="EY56" s="740"/>
      <c r="EZ56" s="740"/>
      <c r="FA56" s="740"/>
      <c r="FB56" s="740"/>
      <c r="FC56" s="740"/>
      <c r="FD56" s="740"/>
      <c r="FE56" s="740"/>
      <c r="FF56" s="740"/>
      <c r="FG56" s="740"/>
      <c r="FH56" s="740"/>
      <c r="FI56" s="740"/>
      <c r="FJ56" s="740"/>
      <c r="FK56" s="740"/>
      <c r="FL56" s="740"/>
      <c r="FM56" s="740"/>
      <c r="FN56" s="740"/>
      <c r="FO56" s="740"/>
      <c r="FP56" s="740"/>
      <c r="FQ56" s="740"/>
      <c r="FR56" s="740"/>
      <c r="FS56" s="740"/>
      <c r="FT56" s="740"/>
      <c r="FU56" s="740"/>
      <c r="FV56" s="740"/>
      <c r="FW56" s="740"/>
      <c r="FX56" s="740"/>
      <c r="FY56" s="740"/>
      <c r="FZ56" s="740"/>
      <c r="GA56" s="740"/>
      <c r="GB56" s="740"/>
      <c r="GC56" s="740"/>
      <c r="GD56" s="740"/>
      <c r="GE56" s="740"/>
      <c r="GF56" s="740"/>
      <c r="GG56" s="740"/>
      <c r="GH56" s="740"/>
      <c r="GI56" s="740"/>
      <c r="GJ56" s="740"/>
      <c r="GK56" s="740"/>
      <c r="GL56" s="740"/>
      <c r="GM56" s="740"/>
      <c r="GN56" s="740"/>
      <c r="GO56" s="740"/>
      <c r="GP56" s="740"/>
      <c r="GQ56" s="740"/>
      <c r="GR56" s="740"/>
      <c r="GS56" s="740"/>
      <c r="GT56" s="740"/>
      <c r="GU56" s="740"/>
      <c r="GV56" s="740"/>
      <c r="GW56" s="740"/>
    </row>
    <row r="57" spans="1:205" ht="22.15" customHeight="1" x14ac:dyDescent="0.2">
      <c r="A57" s="2503"/>
      <c r="C57" s="2433"/>
      <c r="D57" s="825" t="s">
        <v>53</v>
      </c>
      <c r="E57" s="2392"/>
      <c r="F57" s="2318"/>
      <c r="G57" s="2318"/>
      <c r="H57" s="2318"/>
      <c r="I57" s="444"/>
      <c r="J57" s="2279"/>
      <c r="K57" s="2434" t="s">
        <v>989</v>
      </c>
      <c r="L57" s="2435"/>
      <c r="M57" s="2436">
        <f>O57</f>
        <v>44.455424999999998</v>
      </c>
      <c r="N57" s="2437"/>
      <c r="O57" s="2438">
        <f>Stammdaten!Y73</f>
        <v>44.455424999999998</v>
      </c>
      <c r="P57" s="2439"/>
      <c r="Q57" s="2440">
        <f>O57</f>
        <v>44.455424999999998</v>
      </c>
      <c r="R57" s="2503"/>
      <c r="AK57" s="740"/>
      <c r="AL57" s="740"/>
      <c r="AM57" s="740"/>
      <c r="AN57" s="740"/>
      <c r="AO57" s="740"/>
      <c r="AP57" s="740"/>
      <c r="AQ57" s="740"/>
      <c r="AR57" s="740"/>
      <c r="AS57" s="740"/>
      <c r="AT57" s="740"/>
      <c r="AU57" s="740"/>
      <c r="AV57" s="740"/>
      <c r="AW57" s="740"/>
      <c r="AX57" s="740"/>
      <c r="AY57" s="740"/>
      <c r="AZ57" s="740"/>
      <c r="BA57" s="740"/>
      <c r="BB57" s="740"/>
      <c r="BC57" s="740"/>
      <c r="BD57" s="740"/>
      <c r="BE57" s="740"/>
      <c r="BF57" s="740"/>
      <c r="BG57" s="740"/>
      <c r="BH57" s="740"/>
      <c r="BI57" s="740"/>
      <c r="BJ57" s="740"/>
      <c r="BK57" s="740"/>
      <c r="BL57" s="740"/>
      <c r="BM57" s="740"/>
      <c r="BN57" s="740"/>
      <c r="BO57" s="740"/>
      <c r="BP57" s="740"/>
      <c r="BQ57" s="740"/>
      <c r="BR57" s="740"/>
      <c r="BS57" s="740"/>
      <c r="BT57" s="740"/>
      <c r="BU57" s="740"/>
      <c r="BV57" s="740"/>
      <c r="BW57" s="740"/>
      <c r="BX57" s="740"/>
      <c r="BY57" s="740"/>
      <c r="BZ57" s="740"/>
      <c r="CA57" s="740"/>
      <c r="CB57" s="740"/>
      <c r="CC57" s="740"/>
      <c r="CD57" s="740"/>
      <c r="CE57" s="740"/>
      <c r="CF57" s="740"/>
      <c r="CG57" s="740"/>
      <c r="CH57" s="740"/>
      <c r="CI57" s="740"/>
      <c r="CJ57" s="740"/>
      <c r="CK57" s="740"/>
      <c r="CL57" s="740"/>
      <c r="CM57" s="740"/>
      <c r="CN57" s="740"/>
      <c r="CO57" s="740"/>
      <c r="CP57" s="740"/>
      <c r="CQ57" s="740"/>
      <c r="CR57" s="740"/>
      <c r="CS57" s="740"/>
      <c r="CT57" s="740"/>
      <c r="CU57" s="740"/>
      <c r="CV57" s="740"/>
      <c r="CW57" s="740"/>
      <c r="CX57" s="740"/>
      <c r="CY57" s="740"/>
      <c r="CZ57" s="740"/>
      <c r="DA57" s="740"/>
      <c r="DB57" s="740"/>
      <c r="DC57" s="740"/>
      <c r="DD57" s="740"/>
      <c r="DE57" s="740"/>
      <c r="DF57" s="740"/>
      <c r="DG57" s="740"/>
      <c r="DH57" s="740"/>
      <c r="DI57" s="740"/>
      <c r="DJ57" s="740"/>
      <c r="DK57" s="740"/>
      <c r="DL57" s="740"/>
      <c r="DM57" s="740"/>
      <c r="DN57" s="740"/>
      <c r="DO57" s="740"/>
      <c r="DP57" s="740"/>
      <c r="DQ57" s="740"/>
      <c r="DR57" s="740"/>
      <c r="DS57" s="740"/>
      <c r="DT57" s="740"/>
      <c r="DU57" s="740"/>
      <c r="DV57" s="740"/>
      <c r="DW57" s="740"/>
      <c r="DX57" s="740"/>
      <c r="DY57" s="740"/>
      <c r="DZ57" s="740"/>
      <c r="EA57" s="740"/>
      <c r="EB57" s="740"/>
      <c r="EC57" s="740"/>
      <c r="ED57" s="740"/>
      <c r="EE57" s="740"/>
      <c r="EF57" s="740"/>
      <c r="EG57" s="740"/>
      <c r="EH57" s="740"/>
      <c r="EI57" s="740"/>
      <c r="EJ57" s="740"/>
      <c r="EK57" s="740"/>
      <c r="EL57" s="740"/>
      <c r="EM57" s="740"/>
      <c r="EN57" s="740"/>
      <c r="EO57" s="740"/>
      <c r="EP57" s="740"/>
      <c r="EQ57" s="740"/>
      <c r="ER57" s="740"/>
      <c r="ES57" s="740"/>
      <c r="ET57" s="740"/>
      <c r="EU57" s="740"/>
      <c r="EV57" s="740"/>
      <c r="EW57" s="740"/>
      <c r="EX57" s="740"/>
      <c r="EY57" s="740"/>
      <c r="EZ57" s="740"/>
      <c r="FA57" s="740"/>
      <c r="FB57" s="740"/>
      <c r="FC57" s="740"/>
      <c r="FD57" s="740"/>
      <c r="FE57" s="740"/>
      <c r="FF57" s="740"/>
      <c r="FG57" s="740"/>
      <c r="FH57" s="740"/>
      <c r="FI57" s="740"/>
      <c r="FJ57" s="740"/>
      <c r="FK57" s="740"/>
      <c r="FL57" s="740"/>
      <c r="FM57" s="740"/>
      <c r="FN57" s="740"/>
      <c r="FO57" s="740"/>
      <c r="FP57" s="740"/>
      <c r="FQ57" s="740"/>
      <c r="FR57" s="740"/>
      <c r="FS57" s="740"/>
      <c r="FT57" s="740"/>
      <c r="FU57" s="740"/>
      <c r="FV57" s="740"/>
      <c r="FW57" s="740"/>
      <c r="FX57" s="740"/>
      <c r="FY57" s="740"/>
      <c r="FZ57" s="740"/>
      <c r="GA57" s="740"/>
      <c r="GB57" s="740"/>
      <c r="GC57" s="740"/>
      <c r="GD57" s="740"/>
      <c r="GE57" s="740"/>
      <c r="GF57" s="740"/>
      <c r="GG57" s="740"/>
      <c r="GH57" s="740"/>
      <c r="GI57" s="740"/>
      <c r="GJ57" s="740"/>
      <c r="GK57" s="740"/>
      <c r="GL57" s="740"/>
      <c r="GM57" s="740"/>
      <c r="GN57" s="740"/>
      <c r="GO57" s="740"/>
      <c r="GP57" s="740"/>
      <c r="GQ57" s="740"/>
      <c r="GR57" s="740"/>
      <c r="GS57" s="740"/>
      <c r="GT57" s="740"/>
      <c r="GU57" s="740"/>
      <c r="GV57" s="740"/>
      <c r="GW57" s="740"/>
    </row>
    <row r="58" spans="1:205" ht="1.5" customHeight="1" thickBot="1" x14ac:dyDescent="0.25">
      <c r="A58" s="2503"/>
      <c r="C58" s="2441"/>
      <c r="D58" s="2442"/>
      <c r="E58" s="2443"/>
      <c r="F58" s="2444"/>
      <c r="G58" s="2444"/>
      <c r="H58" s="2444"/>
      <c r="I58" s="2445"/>
      <c r="J58" s="2444"/>
      <c r="K58" s="2446"/>
      <c r="L58" s="2447"/>
      <c r="M58" s="2448"/>
      <c r="N58" s="2449"/>
      <c r="O58" s="2450"/>
      <c r="P58" s="2451"/>
      <c r="Q58" s="2452"/>
      <c r="R58" s="2503"/>
      <c r="AK58" s="740"/>
      <c r="AL58" s="740"/>
      <c r="AM58" s="740"/>
      <c r="AN58" s="740"/>
      <c r="AO58" s="740"/>
      <c r="AP58" s="740"/>
      <c r="AQ58" s="740"/>
      <c r="AR58" s="740"/>
      <c r="AS58" s="740"/>
      <c r="AT58" s="740"/>
      <c r="AU58" s="740"/>
      <c r="AV58" s="740"/>
      <c r="AW58" s="740"/>
      <c r="AX58" s="740"/>
      <c r="AY58" s="740"/>
      <c r="AZ58" s="740"/>
      <c r="BA58" s="740"/>
      <c r="BB58" s="740"/>
      <c r="BC58" s="740"/>
      <c r="BD58" s="740"/>
      <c r="BE58" s="740"/>
      <c r="BF58" s="740"/>
      <c r="BG58" s="740"/>
      <c r="BH58" s="740"/>
      <c r="BI58" s="740"/>
      <c r="BJ58" s="740"/>
      <c r="BK58" s="740"/>
      <c r="BL58" s="740"/>
      <c r="BM58" s="740"/>
      <c r="BN58" s="740"/>
      <c r="BO58" s="740"/>
      <c r="BP58" s="740"/>
      <c r="BQ58" s="740"/>
      <c r="BR58" s="740"/>
      <c r="BS58" s="740"/>
      <c r="BT58" s="740"/>
      <c r="BU58" s="740"/>
      <c r="BV58" s="740"/>
      <c r="BW58" s="740"/>
      <c r="BX58" s="740"/>
      <c r="BY58" s="740"/>
      <c r="BZ58" s="740"/>
      <c r="CA58" s="740"/>
      <c r="CB58" s="740"/>
      <c r="CC58" s="740"/>
      <c r="CD58" s="740"/>
      <c r="CE58" s="740"/>
      <c r="CF58" s="740"/>
      <c r="CG58" s="740"/>
      <c r="CH58" s="740"/>
      <c r="CI58" s="740"/>
      <c r="CJ58" s="740"/>
      <c r="CK58" s="740"/>
      <c r="CL58" s="740"/>
      <c r="CM58" s="740"/>
      <c r="CN58" s="740"/>
      <c r="CO58" s="740"/>
      <c r="CP58" s="740"/>
      <c r="CQ58" s="740"/>
      <c r="CR58" s="740"/>
      <c r="CS58" s="740"/>
      <c r="CT58" s="740"/>
      <c r="CU58" s="740"/>
      <c r="CV58" s="740"/>
      <c r="CW58" s="740"/>
      <c r="CX58" s="740"/>
      <c r="CY58" s="740"/>
      <c r="CZ58" s="740"/>
      <c r="DA58" s="740"/>
      <c r="DB58" s="740"/>
      <c r="DC58" s="740"/>
      <c r="DD58" s="740"/>
      <c r="DE58" s="740"/>
      <c r="DF58" s="740"/>
      <c r="DG58" s="740"/>
      <c r="DH58" s="740"/>
      <c r="DI58" s="740"/>
      <c r="DJ58" s="740"/>
      <c r="DK58" s="740"/>
      <c r="DL58" s="740"/>
      <c r="DM58" s="740"/>
      <c r="DN58" s="740"/>
      <c r="DO58" s="740"/>
      <c r="DP58" s="740"/>
      <c r="DQ58" s="740"/>
      <c r="DR58" s="740"/>
      <c r="DS58" s="740"/>
      <c r="DT58" s="740"/>
      <c r="DU58" s="740"/>
      <c r="DV58" s="740"/>
      <c r="DW58" s="740"/>
      <c r="DX58" s="740"/>
      <c r="DY58" s="740"/>
      <c r="DZ58" s="740"/>
      <c r="EA58" s="740"/>
      <c r="EB58" s="740"/>
      <c r="EC58" s="740"/>
      <c r="ED58" s="740"/>
      <c r="EE58" s="740"/>
      <c r="EF58" s="740"/>
      <c r="EG58" s="740"/>
      <c r="EH58" s="740"/>
      <c r="EI58" s="740"/>
      <c r="EJ58" s="740"/>
      <c r="EK58" s="740"/>
      <c r="EL58" s="740"/>
      <c r="EM58" s="740"/>
      <c r="EN58" s="740"/>
      <c r="EO58" s="740"/>
      <c r="EP58" s="740"/>
      <c r="EQ58" s="740"/>
      <c r="ER58" s="740"/>
      <c r="ES58" s="740"/>
      <c r="ET58" s="740"/>
      <c r="EU58" s="740"/>
      <c r="EV58" s="740"/>
      <c r="EW58" s="740"/>
      <c r="EX58" s="740"/>
      <c r="EY58" s="740"/>
      <c r="EZ58" s="740"/>
      <c r="FA58" s="740"/>
      <c r="FB58" s="740"/>
      <c r="FC58" s="740"/>
      <c r="FD58" s="740"/>
      <c r="FE58" s="740"/>
      <c r="FF58" s="740"/>
      <c r="FG58" s="740"/>
      <c r="FH58" s="740"/>
      <c r="FI58" s="740"/>
      <c r="FJ58" s="740"/>
      <c r="FK58" s="740"/>
      <c r="FL58" s="740"/>
      <c r="FM58" s="740"/>
      <c r="FN58" s="740"/>
      <c r="FO58" s="740"/>
      <c r="FP58" s="740"/>
      <c r="FQ58" s="740"/>
      <c r="FR58" s="740"/>
      <c r="FS58" s="740"/>
      <c r="FT58" s="740"/>
      <c r="FU58" s="740"/>
      <c r="FV58" s="740"/>
      <c r="FW58" s="740"/>
      <c r="FX58" s="740"/>
      <c r="FY58" s="740"/>
      <c r="FZ58" s="740"/>
      <c r="GA58" s="740"/>
      <c r="GB58" s="740"/>
      <c r="GC58" s="740"/>
      <c r="GD58" s="740"/>
      <c r="GE58" s="740"/>
      <c r="GF58" s="740"/>
      <c r="GG58" s="740"/>
      <c r="GH58" s="740"/>
      <c r="GI58" s="740"/>
      <c r="GJ58" s="740"/>
      <c r="GK58" s="740"/>
      <c r="GL58" s="740"/>
      <c r="GM58" s="740"/>
      <c r="GN58" s="740"/>
      <c r="GO58" s="740"/>
      <c r="GP58" s="740"/>
      <c r="GQ58" s="740"/>
      <c r="GR58" s="740"/>
      <c r="GS58" s="740"/>
      <c r="GT58" s="740"/>
      <c r="GU58" s="740"/>
      <c r="GV58" s="740"/>
      <c r="GW58" s="740"/>
    </row>
    <row r="59" spans="1:205" ht="19.899999999999999" customHeight="1" x14ac:dyDescent="0.25">
      <c r="A59" s="2503"/>
      <c r="C59" s="2279"/>
      <c r="D59" s="2279"/>
      <c r="E59" s="2279"/>
      <c r="F59" s="2279"/>
      <c r="G59" s="2279"/>
      <c r="H59" s="2279"/>
      <c r="I59" s="2453"/>
      <c r="J59" s="2453"/>
      <c r="K59" s="2453"/>
      <c r="L59" s="2453"/>
      <c r="M59" s="2343"/>
      <c r="N59" s="2279"/>
      <c r="O59" s="2343"/>
      <c r="P59" s="114"/>
      <c r="Q59" s="2343"/>
      <c r="R59"/>
      <c r="S59" s="740"/>
      <c r="AK59" s="740"/>
      <c r="AL59" s="740"/>
      <c r="AM59" s="740"/>
      <c r="AN59" s="740"/>
      <c r="AO59" s="740"/>
      <c r="AP59" s="740"/>
      <c r="AQ59" s="740"/>
      <c r="AR59" s="740"/>
      <c r="AS59" s="740"/>
      <c r="AT59" s="740"/>
      <c r="AU59" s="740"/>
      <c r="AV59" s="740"/>
      <c r="AW59" s="740"/>
      <c r="AX59" s="740"/>
      <c r="AY59" s="740"/>
      <c r="AZ59" s="740"/>
      <c r="BA59" s="740"/>
      <c r="BB59" s="740"/>
      <c r="BC59" s="740"/>
      <c r="BD59" s="740"/>
      <c r="BE59" s="740"/>
      <c r="BF59" s="740"/>
      <c r="BG59" s="740"/>
      <c r="BH59" s="740"/>
      <c r="BI59" s="740"/>
      <c r="BJ59" s="740"/>
      <c r="BK59" s="740"/>
      <c r="BL59" s="740"/>
      <c r="BM59" s="740"/>
      <c r="BN59" s="740"/>
      <c r="BO59" s="740"/>
      <c r="BP59" s="740"/>
      <c r="BQ59" s="740"/>
      <c r="BR59" s="740"/>
      <c r="BS59" s="740"/>
      <c r="BT59" s="740"/>
      <c r="BU59" s="740"/>
      <c r="BV59" s="740"/>
      <c r="BW59" s="740"/>
      <c r="BX59" s="740"/>
      <c r="BY59" s="740"/>
      <c r="BZ59" s="740"/>
      <c r="CA59" s="740"/>
      <c r="CB59" s="740"/>
      <c r="CC59" s="740"/>
      <c r="CD59" s="740"/>
      <c r="CE59" s="740"/>
      <c r="CF59" s="740"/>
      <c r="CG59" s="740"/>
      <c r="CH59" s="740"/>
      <c r="CI59" s="740"/>
      <c r="CJ59" s="740"/>
      <c r="CK59" s="740"/>
      <c r="CL59" s="740"/>
      <c r="CM59" s="740"/>
      <c r="CN59" s="740"/>
      <c r="CO59" s="740"/>
      <c r="CP59" s="740"/>
      <c r="CQ59" s="740"/>
      <c r="CR59" s="740"/>
      <c r="CS59" s="740"/>
      <c r="CT59" s="740"/>
      <c r="CU59" s="740"/>
      <c r="CV59" s="740"/>
      <c r="CW59" s="740"/>
      <c r="CX59" s="740"/>
      <c r="CY59" s="740"/>
      <c r="CZ59" s="740"/>
      <c r="DA59" s="740"/>
      <c r="DB59" s="740"/>
      <c r="DC59" s="740"/>
      <c r="DD59" s="740"/>
      <c r="DE59" s="740"/>
      <c r="DF59" s="740"/>
      <c r="DG59" s="740"/>
      <c r="DH59" s="740"/>
      <c r="DI59" s="740"/>
      <c r="DJ59" s="740"/>
      <c r="DK59" s="740"/>
      <c r="DL59" s="740"/>
      <c r="DM59" s="740"/>
      <c r="DN59" s="740"/>
      <c r="DO59" s="740"/>
      <c r="DP59" s="740"/>
      <c r="DQ59" s="740"/>
      <c r="DR59" s="740"/>
      <c r="DS59" s="740"/>
      <c r="DT59" s="740"/>
      <c r="DU59" s="740"/>
      <c r="DV59" s="740"/>
      <c r="DW59" s="740"/>
      <c r="DX59" s="740"/>
      <c r="DY59" s="740"/>
      <c r="DZ59" s="740"/>
      <c r="EA59" s="740"/>
      <c r="EB59" s="740"/>
      <c r="EC59" s="740"/>
      <c r="ED59" s="740"/>
      <c r="EE59" s="740"/>
      <c r="EF59" s="740"/>
      <c r="EG59" s="740"/>
      <c r="EH59" s="740"/>
      <c r="EI59" s="740"/>
      <c r="EJ59" s="740"/>
      <c r="EK59" s="740"/>
      <c r="EL59" s="740"/>
      <c r="EM59" s="740"/>
      <c r="EN59" s="740"/>
      <c r="EO59" s="740"/>
      <c r="EP59" s="740"/>
      <c r="EQ59" s="740"/>
      <c r="ER59" s="740"/>
      <c r="ES59" s="740"/>
      <c r="ET59" s="740"/>
      <c r="EU59" s="740"/>
      <c r="EV59" s="740"/>
      <c r="EW59" s="740"/>
      <c r="EX59" s="740"/>
      <c r="EY59" s="740"/>
      <c r="EZ59" s="740"/>
      <c r="FA59" s="740"/>
      <c r="FB59" s="740"/>
      <c r="FC59" s="740"/>
      <c r="FD59" s="740"/>
      <c r="FE59" s="740"/>
      <c r="FF59" s="740"/>
      <c r="FG59" s="740"/>
      <c r="FH59" s="740"/>
      <c r="FI59" s="740"/>
      <c r="FJ59" s="740"/>
      <c r="FK59" s="740"/>
      <c r="FL59" s="740"/>
      <c r="FM59" s="740"/>
      <c r="FN59" s="740"/>
      <c r="FO59" s="740"/>
      <c r="FP59" s="740"/>
      <c r="FQ59" s="740"/>
      <c r="FR59" s="740"/>
      <c r="FS59" s="740"/>
      <c r="FT59" s="740"/>
      <c r="FU59" s="740"/>
      <c r="FV59" s="740"/>
      <c r="FW59" s="740"/>
      <c r="FX59" s="740"/>
      <c r="FY59" s="740"/>
      <c r="FZ59" s="740"/>
      <c r="GA59" s="740"/>
      <c r="GB59" s="740"/>
      <c r="GC59" s="740"/>
      <c r="GD59" s="740"/>
      <c r="GE59" s="740"/>
      <c r="GF59" s="740"/>
      <c r="GG59" s="740"/>
      <c r="GH59" s="740"/>
      <c r="GI59" s="740"/>
      <c r="GJ59" s="740"/>
      <c r="GK59" s="740"/>
      <c r="GL59" s="740"/>
      <c r="GM59" s="740"/>
      <c r="GN59" s="740"/>
      <c r="GO59" s="740"/>
      <c r="GP59" s="740"/>
      <c r="GQ59" s="740"/>
      <c r="GR59" s="740"/>
      <c r="GS59" s="740"/>
      <c r="GT59" s="740"/>
      <c r="GU59" s="740"/>
      <c r="GV59" s="740"/>
      <c r="GW59" s="740"/>
    </row>
    <row r="60" spans="1:205" ht="19.899999999999999" customHeight="1" x14ac:dyDescent="0.2">
      <c r="A60" s="2503"/>
      <c r="I60" s="740"/>
      <c r="J60" s="740"/>
      <c r="K60" s="740"/>
      <c r="L60" s="740"/>
      <c r="P60" s="123"/>
      <c r="R60"/>
      <c r="S60" s="740"/>
      <c r="AK60" s="740"/>
      <c r="AL60" s="740"/>
      <c r="AM60" s="740"/>
      <c r="AN60" s="740"/>
      <c r="AO60" s="740"/>
      <c r="AP60" s="740"/>
      <c r="AQ60" s="740"/>
      <c r="AR60" s="740"/>
      <c r="AS60" s="740"/>
      <c r="AT60" s="740"/>
      <c r="AU60" s="740"/>
      <c r="AV60" s="740"/>
      <c r="AW60" s="740"/>
      <c r="AX60" s="740"/>
      <c r="AY60" s="740"/>
      <c r="AZ60" s="740"/>
      <c r="BA60" s="740"/>
      <c r="BB60" s="740"/>
      <c r="BC60" s="740"/>
      <c r="BD60" s="740"/>
      <c r="BE60" s="740"/>
      <c r="BF60" s="740"/>
      <c r="BG60" s="740"/>
      <c r="BH60" s="740"/>
      <c r="BI60" s="740"/>
      <c r="BJ60" s="740"/>
      <c r="BK60" s="740"/>
      <c r="BL60" s="740"/>
      <c r="BM60" s="740"/>
      <c r="BN60" s="740"/>
      <c r="BO60" s="740"/>
      <c r="BP60" s="740"/>
      <c r="BQ60" s="740"/>
      <c r="BR60" s="740"/>
      <c r="BS60" s="740"/>
      <c r="BT60" s="740"/>
      <c r="BU60" s="740"/>
      <c r="BV60" s="740"/>
      <c r="BW60" s="740"/>
      <c r="BX60" s="740"/>
      <c r="BY60" s="740"/>
      <c r="BZ60" s="740"/>
      <c r="CA60" s="740"/>
      <c r="CB60" s="740"/>
      <c r="CC60" s="740"/>
      <c r="CD60" s="740"/>
      <c r="CE60" s="740"/>
      <c r="CF60" s="740"/>
      <c r="CG60" s="740"/>
      <c r="CH60" s="740"/>
      <c r="CI60" s="740"/>
      <c r="CJ60" s="740"/>
      <c r="CK60" s="740"/>
      <c r="CL60" s="740"/>
      <c r="CM60" s="740"/>
      <c r="CN60" s="740"/>
      <c r="CO60" s="740"/>
      <c r="CP60" s="740"/>
      <c r="CQ60" s="740"/>
      <c r="CR60" s="740"/>
      <c r="CS60" s="740"/>
      <c r="CT60" s="740"/>
      <c r="CU60" s="740"/>
      <c r="CV60" s="740"/>
      <c r="CW60" s="740"/>
      <c r="CX60" s="740"/>
      <c r="CY60" s="740"/>
      <c r="CZ60" s="740"/>
      <c r="DA60" s="740"/>
      <c r="DB60" s="740"/>
      <c r="DC60" s="740"/>
      <c r="DD60" s="740"/>
      <c r="DE60" s="740"/>
      <c r="DF60" s="740"/>
      <c r="DG60" s="740"/>
      <c r="DH60" s="740"/>
      <c r="DI60" s="740"/>
      <c r="DJ60" s="740"/>
      <c r="DK60" s="740"/>
      <c r="DL60" s="740"/>
      <c r="DM60" s="740"/>
      <c r="DN60" s="740"/>
      <c r="DO60" s="740"/>
      <c r="DP60" s="740"/>
      <c r="DQ60" s="740"/>
      <c r="DR60" s="740"/>
      <c r="DS60" s="740"/>
      <c r="DT60" s="740"/>
      <c r="DU60" s="740"/>
      <c r="DV60" s="740"/>
      <c r="DW60" s="740"/>
      <c r="DX60" s="740"/>
      <c r="DY60" s="740"/>
      <c r="DZ60" s="740"/>
      <c r="EA60" s="740"/>
      <c r="EB60" s="740"/>
      <c r="EC60" s="740"/>
      <c r="ED60" s="740"/>
      <c r="EE60" s="740"/>
      <c r="EF60" s="740"/>
      <c r="EG60" s="740"/>
      <c r="EH60" s="740"/>
      <c r="EI60" s="740"/>
      <c r="EJ60" s="740"/>
      <c r="EK60" s="740"/>
      <c r="EL60" s="740"/>
      <c r="EM60" s="740"/>
      <c r="EN60" s="740"/>
      <c r="EO60" s="740"/>
      <c r="EP60" s="740"/>
      <c r="EQ60" s="740"/>
      <c r="ER60" s="740"/>
      <c r="ES60" s="740"/>
      <c r="ET60" s="740"/>
      <c r="EU60" s="740"/>
      <c r="EV60" s="740"/>
      <c r="EW60" s="740"/>
      <c r="EX60" s="740"/>
      <c r="EY60" s="740"/>
      <c r="EZ60" s="740"/>
      <c r="FA60" s="740"/>
      <c r="FB60" s="740"/>
      <c r="FC60" s="740"/>
      <c r="FD60" s="740"/>
      <c r="FE60" s="740"/>
      <c r="FF60" s="740"/>
      <c r="FG60" s="740"/>
      <c r="FH60" s="740"/>
      <c r="FI60" s="740"/>
      <c r="FJ60" s="740"/>
      <c r="FK60" s="740"/>
      <c r="FL60" s="740"/>
      <c r="FM60" s="740"/>
      <c r="FN60" s="740"/>
      <c r="FO60" s="740"/>
      <c r="FP60" s="740"/>
      <c r="FQ60" s="740"/>
      <c r="FR60" s="740"/>
      <c r="FS60" s="740"/>
      <c r="FT60" s="740"/>
      <c r="FU60" s="740"/>
      <c r="FV60" s="740"/>
      <c r="FW60" s="740"/>
      <c r="FX60" s="740"/>
      <c r="FY60" s="740"/>
      <c r="FZ60" s="740"/>
      <c r="GA60" s="740"/>
      <c r="GB60" s="740"/>
      <c r="GC60" s="740"/>
      <c r="GD60" s="740"/>
      <c r="GE60" s="740"/>
      <c r="GF60" s="740"/>
      <c r="GG60" s="740"/>
      <c r="GH60" s="740"/>
      <c r="GI60" s="740"/>
      <c r="GJ60" s="740"/>
      <c r="GK60" s="740"/>
      <c r="GL60" s="740"/>
      <c r="GM60" s="740"/>
      <c r="GN60" s="740"/>
      <c r="GO60" s="740"/>
      <c r="GP60" s="740"/>
      <c r="GQ60" s="740"/>
      <c r="GR60" s="740"/>
      <c r="GS60" s="740"/>
      <c r="GT60" s="740"/>
      <c r="GU60" s="740"/>
      <c r="GV60" s="740"/>
      <c r="GW60" s="740"/>
    </row>
    <row r="61" spans="1:205" ht="19.899999999999999" customHeight="1" x14ac:dyDescent="0.2">
      <c r="A61" s="2503"/>
      <c r="I61" s="740"/>
      <c r="J61" s="740"/>
      <c r="K61" s="740"/>
      <c r="L61" s="740"/>
      <c r="P61" s="123"/>
      <c r="R61" s="740"/>
      <c r="S61" s="740"/>
      <c r="AK61" s="740"/>
      <c r="AL61" s="740"/>
      <c r="AM61" s="740"/>
      <c r="AN61" s="740"/>
      <c r="AO61" s="740"/>
      <c r="AP61" s="740"/>
      <c r="AQ61" s="740"/>
      <c r="AR61" s="740"/>
      <c r="AS61" s="740"/>
      <c r="AT61" s="740"/>
      <c r="AU61" s="740"/>
      <c r="AV61" s="740"/>
      <c r="AW61" s="740"/>
      <c r="AX61" s="740"/>
      <c r="AY61" s="740"/>
      <c r="AZ61" s="740"/>
      <c r="BA61" s="740"/>
      <c r="BB61" s="740"/>
      <c r="BC61" s="740"/>
      <c r="BD61" s="740"/>
      <c r="BE61" s="740"/>
      <c r="BF61" s="740"/>
      <c r="BG61" s="740"/>
      <c r="BH61" s="740"/>
      <c r="BI61" s="740"/>
      <c r="BJ61" s="740"/>
      <c r="BK61" s="740"/>
      <c r="BL61" s="740"/>
      <c r="BM61" s="740"/>
      <c r="BN61" s="740"/>
      <c r="BO61" s="740"/>
      <c r="BP61" s="740"/>
      <c r="BQ61" s="740"/>
      <c r="BR61" s="740"/>
      <c r="BS61" s="740"/>
      <c r="BT61" s="740"/>
      <c r="BU61" s="740"/>
      <c r="BV61" s="740"/>
      <c r="BW61" s="740"/>
      <c r="BX61" s="740"/>
      <c r="BY61" s="740"/>
      <c r="BZ61" s="740"/>
      <c r="CA61" s="740"/>
      <c r="CB61" s="740"/>
      <c r="CC61" s="740"/>
      <c r="CD61" s="740"/>
      <c r="CE61" s="740"/>
      <c r="CF61" s="740"/>
      <c r="CG61" s="740"/>
      <c r="CH61" s="740"/>
      <c r="CI61" s="740"/>
      <c r="CJ61" s="740"/>
      <c r="CK61" s="740"/>
      <c r="CL61" s="740"/>
      <c r="CM61" s="740"/>
      <c r="CN61" s="740"/>
      <c r="CO61" s="740"/>
      <c r="CP61" s="740"/>
      <c r="CQ61" s="740"/>
      <c r="CR61" s="740"/>
      <c r="CS61" s="740"/>
      <c r="CT61" s="740"/>
      <c r="CU61" s="740"/>
      <c r="CV61" s="740"/>
      <c r="CW61" s="740"/>
      <c r="CX61" s="740"/>
      <c r="CY61" s="740"/>
      <c r="CZ61" s="740"/>
      <c r="DA61" s="740"/>
      <c r="DB61" s="740"/>
      <c r="DC61" s="740"/>
      <c r="DD61" s="740"/>
      <c r="DE61" s="740"/>
      <c r="DF61" s="740"/>
      <c r="DG61" s="740"/>
      <c r="DH61" s="740"/>
      <c r="DI61" s="740"/>
      <c r="DJ61" s="740"/>
      <c r="DK61" s="740"/>
      <c r="DL61" s="740"/>
      <c r="DM61" s="740"/>
      <c r="DN61" s="740"/>
      <c r="DO61" s="740"/>
      <c r="DP61" s="740"/>
      <c r="DQ61" s="740"/>
      <c r="DR61" s="740"/>
      <c r="DS61" s="740"/>
      <c r="DT61" s="740"/>
      <c r="DU61" s="740"/>
      <c r="DV61" s="740"/>
      <c r="DW61" s="740"/>
      <c r="DX61" s="740"/>
      <c r="DY61" s="740"/>
      <c r="DZ61" s="740"/>
      <c r="EA61" s="740"/>
      <c r="EB61" s="740"/>
      <c r="EC61" s="740"/>
      <c r="ED61" s="740"/>
      <c r="EE61" s="740"/>
      <c r="EF61" s="740"/>
      <c r="EG61" s="740"/>
      <c r="EH61" s="740"/>
      <c r="EI61" s="740"/>
      <c r="EJ61" s="740"/>
      <c r="EK61" s="740"/>
      <c r="EL61" s="740"/>
      <c r="EM61" s="740"/>
      <c r="EN61" s="740"/>
      <c r="EO61" s="740"/>
      <c r="EP61" s="740"/>
      <c r="EQ61" s="740"/>
      <c r="ER61" s="740"/>
      <c r="ES61" s="740"/>
      <c r="ET61" s="740"/>
      <c r="EU61" s="740"/>
      <c r="EV61" s="740"/>
      <c r="EW61" s="740"/>
      <c r="EX61" s="740"/>
      <c r="EY61" s="740"/>
      <c r="EZ61" s="740"/>
      <c r="FA61" s="740"/>
      <c r="FB61" s="740"/>
      <c r="FC61" s="740"/>
      <c r="FD61" s="740"/>
      <c r="FE61" s="740"/>
      <c r="FF61" s="740"/>
      <c r="FG61" s="740"/>
      <c r="FH61" s="740"/>
      <c r="FI61" s="740"/>
      <c r="FJ61" s="740"/>
      <c r="FK61" s="740"/>
      <c r="FL61" s="740"/>
      <c r="FM61" s="740"/>
      <c r="FN61" s="740"/>
      <c r="FO61" s="740"/>
      <c r="FP61" s="740"/>
      <c r="FQ61" s="740"/>
      <c r="FR61" s="740"/>
      <c r="FS61" s="740"/>
      <c r="FT61" s="740"/>
      <c r="FU61" s="740"/>
      <c r="FV61" s="740"/>
      <c r="FW61" s="740"/>
      <c r="FX61" s="740"/>
      <c r="FY61" s="740"/>
      <c r="FZ61" s="740"/>
      <c r="GA61" s="740"/>
      <c r="GB61" s="740"/>
      <c r="GC61" s="740"/>
      <c r="GD61" s="740"/>
      <c r="GE61" s="740"/>
      <c r="GF61" s="740"/>
      <c r="GG61" s="740"/>
      <c r="GH61" s="740"/>
      <c r="GI61" s="740"/>
      <c r="GJ61" s="740"/>
      <c r="GK61" s="740"/>
      <c r="GL61" s="740"/>
      <c r="GM61" s="740"/>
      <c r="GN61" s="740"/>
      <c r="GO61" s="740"/>
      <c r="GP61" s="740"/>
      <c r="GQ61" s="740"/>
      <c r="GR61" s="740"/>
      <c r="GS61" s="740"/>
      <c r="GT61" s="740"/>
      <c r="GU61" s="740"/>
      <c r="GV61" s="740"/>
      <c r="GW61" s="740"/>
    </row>
    <row r="62" spans="1:205" ht="24" customHeight="1" x14ac:dyDescent="0.2">
      <c r="A62" s="2503"/>
      <c r="D62" s="759"/>
      <c r="E62" s="759"/>
      <c r="F62" s="759"/>
      <c r="G62" s="759"/>
      <c r="H62" s="759"/>
      <c r="I62" s="759"/>
      <c r="J62" s="759"/>
      <c r="K62" s="759"/>
      <c r="L62" s="759"/>
      <c r="M62" s="759"/>
      <c r="N62" s="759"/>
      <c r="O62" s="759"/>
      <c r="P62" s="759"/>
      <c r="Q62" s="759"/>
      <c r="R62" s="759"/>
      <c r="S62" s="759"/>
      <c r="T62" s="759"/>
      <c r="U62" s="759"/>
      <c r="V62" s="759"/>
      <c r="W62" s="740"/>
      <c r="X62" s="740"/>
      <c r="Y62" s="740"/>
      <c r="Z62" s="740"/>
      <c r="AA62" s="740"/>
      <c r="AB62" s="740"/>
      <c r="AC62" s="740"/>
      <c r="AD62" s="740"/>
      <c r="AE62" s="740"/>
      <c r="AF62" s="740"/>
      <c r="AG62" s="740"/>
      <c r="AH62" s="740"/>
      <c r="AI62" s="740"/>
      <c r="AJ62" s="740"/>
      <c r="AK62" s="740"/>
      <c r="AL62" s="740"/>
      <c r="AM62" s="740"/>
      <c r="AN62" s="740"/>
      <c r="AO62" s="740"/>
      <c r="AP62" s="740"/>
      <c r="AQ62" s="740"/>
      <c r="AR62" s="740"/>
      <c r="AS62" s="740"/>
      <c r="AT62" s="740"/>
      <c r="AU62" s="740"/>
      <c r="AV62" s="740"/>
      <c r="AW62" s="740"/>
      <c r="AX62" s="740"/>
      <c r="AY62" s="740"/>
      <c r="AZ62" s="740"/>
      <c r="BA62" s="740"/>
      <c r="BB62" s="740"/>
      <c r="BC62" s="740"/>
      <c r="BD62" s="740"/>
      <c r="BE62" s="740"/>
      <c r="BF62" s="740"/>
      <c r="BG62" s="740"/>
      <c r="BH62" s="740"/>
      <c r="BI62" s="740"/>
      <c r="BJ62" s="740"/>
      <c r="BK62" s="740"/>
      <c r="BL62" s="740"/>
      <c r="BM62" s="740"/>
      <c r="BN62" s="740"/>
      <c r="BO62" s="740"/>
      <c r="BP62" s="740"/>
      <c r="BQ62" s="740"/>
      <c r="BR62" s="740"/>
      <c r="BS62" s="740"/>
      <c r="BT62" s="740"/>
      <c r="BU62" s="740"/>
      <c r="BV62" s="740"/>
      <c r="BW62" s="740"/>
      <c r="BX62" s="740"/>
      <c r="BY62" s="740"/>
      <c r="BZ62" s="740"/>
      <c r="CA62" s="740"/>
      <c r="CB62" s="740"/>
      <c r="CC62" s="740"/>
      <c r="CD62" s="740"/>
      <c r="CE62" s="740"/>
      <c r="CF62" s="740"/>
      <c r="CG62" s="740"/>
      <c r="CH62" s="740"/>
      <c r="CI62" s="740"/>
      <c r="CJ62" s="740"/>
      <c r="CK62" s="740"/>
      <c r="CL62" s="740"/>
      <c r="CM62" s="740"/>
      <c r="CN62" s="740"/>
      <c r="CO62" s="740"/>
      <c r="CP62" s="740"/>
      <c r="CQ62" s="740"/>
      <c r="CR62" s="740"/>
      <c r="CS62" s="740"/>
      <c r="CT62" s="740"/>
      <c r="CU62" s="740"/>
      <c r="CV62" s="740"/>
      <c r="CW62" s="740"/>
      <c r="CX62" s="740"/>
      <c r="CY62" s="740"/>
      <c r="CZ62" s="740"/>
      <c r="DA62" s="740"/>
      <c r="DB62" s="740"/>
      <c r="DC62" s="740"/>
      <c r="DD62" s="740"/>
      <c r="DE62" s="740"/>
      <c r="DF62" s="740"/>
      <c r="DG62" s="740"/>
      <c r="DH62" s="740"/>
      <c r="DI62" s="740"/>
      <c r="DJ62" s="740"/>
      <c r="DK62" s="740"/>
      <c r="DL62" s="740"/>
      <c r="DM62" s="740"/>
      <c r="DN62" s="740"/>
      <c r="DO62" s="740"/>
      <c r="DP62" s="740"/>
      <c r="DQ62" s="740"/>
      <c r="DR62" s="740"/>
      <c r="DS62" s="740"/>
      <c r="DT62" s="740"/>
      <c r="DU62" s="740"/>
      <c r="DV62" s="740"/>
      <c r="DW62" s="740"/>
      <c r="DX62" s="740"/>
      <c r="DY62" s="740"/>
      <c r="DZ62" s="740"/>
      <c r="EA62" s="740"/>
      <c r="EB62" s="740"/>
      <c r="EC62" s="740"/>
      <c r="ED62" s="740"/>
      <c r="EE62" s="740"/>
      <c r="EF62" s="740"/>
      <c r="EG62" s="740"/>
      <c r="EH62" s="740"/>
      <c r="EI62" s="740"/>
      <c r="EJ62" s="740"/>
      <c r="EK62" s="740"/>
      <c r="EL62" s="740"/>
      <c r="EM62" s="740"/>
      <c r="EN62" s="740"/>
      <c r="EO62" s="740"/>
      <c r="EP62" s="740"/>
      <c r="EQ62" s="740"/>
      <c r="ER62" s="740"/>
      <c r="ES62" s="740"/>
      <c r="ET62" s="740"/>
      <c r="EU62" s="740"/>
      <c r="EV62" s="740"/>
      <c r="EW62" s="740"/>
      <c r="EX62" s="740"/>
      <c r="EY62" s="740"/>
      <c r="EZ62" s="740"/>
      <c r="FA62" s="740"/>
      <c r="FB62" s="740"/>
      <c r="FC62" s="740"/>
      <c r="FD62" s="740"/>
      <c r="FE62" s="740"/>
      <c r="FF62" s="740"/>
      <c r="FG62" s="740"/>
      <c r="FH62" s="740"/>
      <c r="FI62" s="740"/>
      <c r="FJ62" s="740"/>
      <c r="FK62" s="740"/>
      <c r="FL62" s="740"/>
      <c r="FM62" s="740"/>
      <c r="FN62" s="740"/>
      <c r="FO62" s="740"/>
      <c r="FP62" s="740"/>
      <c r="FQ62" s="740"/>
      <c r="FR62" s="740"/>
      <c r="FS62" s="740"/>
      <c r="FT62" s="740"/>
      <c r="FU62" s="740"/>
      <c r="FV62" s="740"/>
      <c r="FW62" s="740"/>
      <c r="FX62" s="740"/>
      <c r="FY62" s="740"/>
      <c r="FZ62" s="740"/>
      <c r="GA62" s="740"/>
      <c r="GB62" s="740"/>
      <c r="GC62" s="740"/>
      <c r="GD62" s="740"/>
      <c r="GE62" s="740"/>
      <c r="GF62" s="740"/>
      <c r="GG62" s="740"/>
      <c r="GH62" s="740"/>
      <c r="GI62" s="740"/>
      <c r="GJ62" s="740"/>
      <c r="GK62" s="740"/>
      <c r="GL62" s="740"/>
      <c r="GM62" s="740"/>
      <c r="GN62" s="740"/>
      <c r="GO62" s="740"/>
      <c r="GP62" s="740"/>
      <c r="GQ62" s="740"/>
      <c r="GR62" s="740"/>
      <c r="GS62" s="740"/>
      <c r="GT62" s="740"/>
      <c r="GU62" s="740"/>
      <c r="GV62" s="740"/>
      <c r="GW62" s="740"/>
    </row>
    <row r="63" spans="1:205" ht="24" customHeight="1" x14ac:dyDescent="0.2">
      <c r="A63" s="2503"/>
      <c r="B63" s="937" t="s">
        <v>496</v>
      </c>
      <c r="D63" s="826" t="s">
        <v>553</v>
      </c>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740"/>
      <c r="AP63" s="740"/>
      <c r="AQ63" s="740"/>
      <c r="AR63" s="740"/>
      <c r="AS63" s="740"/>
      <c r="AT63" s="740"/>
      <c r="AU63" s="740"/>
      <c r="AV63" s="740"/>
      <c r="AW63" s="740"/>
      <c r="AX63" s="740"/>
      <c r="AY63" s="740"/>
      <c r="AZ63" s="740"/>
      <c r="BA63" s="740"/>
      <c r="BB63" s="740"/>
      <c r="BC63" s="740"/>
      <c r="BD63" s="740"/>
      <c r="BE63" s="740"/>
      <c r="BF63" s="740"/>
      <c r="BG63" s="740"/>
      <c r="BH63" s="740"/>
      <c r="BI63" s="740"/>
      <c r="BJ63" s="740"/>
      <c r="BK63" s="740"/>
      <c r="BL63" s="740"/>
      <c r="BM63" s="740"/>
      <c r="BN63" s="740"/>
      <c r="BO63" s="740"/>
      <c r="BP63" s="740"/>
      <c r="BQ63" s="740"/>
      <c r="BR63" s="740"/>
      <c r="BS63" s="740"/>
      <c r="BT63" s="740"/>
      <c r="BU63" s="740"/>
      <c r="BV63" s="740"/>
      <c r="BW63" s="740"/>
      <c r="BX63" s="740"/>
      <c r="BY63" s="740"/>
      <c r="BZ63" s="740"/>
      <c r="CA63" s="740"/>
      <c r="CB63" s="740"/>
      <c r="CC63" s="740"/>
      <c r="CD63" s="740"/>
      <c r="CE63" s="740"/>
      <c r="CF63" s="740"/>
      <c r="CG63" s="740"/>
      <c r="CH63" s="740"/>
      <c r="CI63" s="740"/>
      <c r="CJ63" s="740"/>
      <c r="CK63" s="740"/>
      <c r="CL63" s="740"/>
      <c r="CM63" s="740"/>
      <c r="CN63" s="740"/>
      <c r="CO63" s="740"/>
      <c r="CP63" s="740"/>
      <c r="CQ63" s="740"/>
      <c r="CR63" s="740"/>
      <c r="CS63" s="740"/>
      <c r="CT63" s="740"/>
      <c r="CU63" s="740"/>
      <c r="CV63" s="740"/>
      <c r="CW63" s="740"/>
      <c r="CX63" s="740"/>
      <c r="CY63" s="740"/>
      <c r="CZ63" s="740"/>
      <c r="DA63" s="740"/>
      <c r="DB63" s="740"/>
      <c r="DC63" s="740"/>
      <c r="DD63" s="740"/>
      <c r="DE63" s="740"/>
      <c r="DF63" s="740"/>
      <c r="DG63" s="740"/>
      <c r="DH63" s="740"/>
      <c r="DI63" s="740"/>
      <c r="DJ63" s="740"/>
      <c r="DK63" s="740"/>
      <c r="DL63" s="740"/>
      <c r="DM63" s="740"/>
      <c r="DN63" s="740"/>
      <c r="DO63" s="740"/>
      <c r="DP63" s="740"/>
      <c r="DQ63" s="740"/>
      <c r="DR63" s="740"/>
      <c r="DS63" s="740"/>
      <c r="DT63" s="740"/>
      <c r="DU63" s="740"/>
      <c r="DV63" s="740"/>
      <c r="DW63" s="740"/>
      <c r="DX63" s="740"/>
      <c r="DY63" s="740"/>
      <c r="DZ63" s="740"/>
      <c r="EA63" s="740"/>
      <c r="EB63" s="740"/>
      <c r="EC63" s="740"/>
      <c r="ED63" s="740"/>
      <c r="EE63" s="740"/>
      <c r="EF63" s="740"/>
      <c r="EG63" s="740"/>
      <c r="EH63" s="740"/>
      <c r="EI63" s="740"/>
      <c r="EJ63" s="740"/>
      <c r="EK63" s="740"/>
      <c r="EL63" s="740"/>
      <c r="EM63" s="740"/>
      <c r="EN63" s="740"/>
      <c r="EO63" s="740"/>
      <c r="EP63" s="740"/>
      <c r="EQ63" s="740"/>
      <c r="ER63" s="740"/>
      <c r="ES63" s="740"/>
      <c r="ET63" s="740"/>
      <c r="EU63" s="740"/>
      <c r="EV63" s="740"/>
      <c r="EW63" s="740"/>
      <c r="EX63" s="740"/>
      <c r="EY63" s="740"/>
      <c r="EZ63" s="740"/>
      <c r="FA63" s="740"/>
      <c r="FB63" s="740"/>
      <c r="FC63" s="740"/>
      <c r="FD63" s="740"/>
      <c r="FE63" s="740"/>
      <c r="FF63" s="740"/>
      <c r="FG63" s="740"/>
      <c r="FH63" s="740"/>
      <c r="FI63" s="740"/>
      <c r="FJ63" s="740"/>
      <c r="FK63" s="740"/>
      <c r="FL63" s="740"/>
      <c r="FM63" s="740"/>
      <c r="FN63" s="740"/>
      <c r="FO63" s="740"/>
      <c r="FP63" s="740"/>
      <c r="FQ63" s="740"/>
      <c r="FR63" s="740"/>
      <c r="FS63" s="740"/>
      <c r="FT63" s="740"/>
      <c r="FU63" s="740"/>
      <c r="FV63" s="740"/>
      <c r="FW63" s="740"/>
      <c r="FX63" s="740"/>
      <c r="FY63" s="740"/>
      <c r="FZ63" s="740"/>
      <c r="GA63" s="740"/>
      <c r="GB63" s="740"/>
      <c r="GC63" s="740"/>
      <c r="GD63" s="740"/>
      <c r="GE63" s="740"/>
      <c r="GF63" s="740"/>
      <c r="GG63" s="740"/>
      <c r="GH63" s="740"/>
      <c r="GI63" s="740"/>
      <c r="GJ63" s="740"/>
      <c r="GK63" s="740"/>
      <c r="GL63" s="740"/>
      <c r="GM63" s="740"/>
      <c r="GN63" s="740"/>
      <c r="GO63" s="740"/>
      <c r="GP63" s="740"/>
      <c r="GQ63" s="740"/>
      <c r="GR63" s="740"/>
      <c r="GS63" s="740"/>
      <c r="GT63" s="740"/>
      <c r="GU63" s="740"/>
      <c r="GV63" s="740"/>
      <c r="GW63" s="740"/>
    </row>
    <row r="64" spans="1:205" ht="24" customHeight="1" x14ac:dyDescent="0.2">
      <c r="A64" s="2503"/>
      <c r="D64" s="2114" t="s">
        <v>390</v>
      </c>
      <c r="E64" s="178"/>
      <c r="F64" s="178"/>
      <c r="G64" s="178"/>
      <c r="H64" s="178"/>
      <c r="I64" s="178"/>
      <c r="J64" s="178"/>
      <c r="K64" s="178"/>
      <c r="L64" s="178"/>
      <c r="M64" s="178"/>
      <c r="N64" s="178"/>
      <c r="O64" s="798"/>
      <c r="P64" s="178"/>
      <c r="Q64" s="798"/>
      <c r="R64" s="782"/>
      <c r="S64" s="740"/>
      <c r="T64" s="740"/>
      <c r="U64" s="740"/>
      <c r="V64" s="740"/>
      <c r="W64" s="740"/>
      <c r="X64" s="740"/>
      <c r="Y64" s="740"/>
      <c r="Z64" s="740"/>
      <c r="AA64" s="740" t="s">
        <v>600</v>
      </c>
      <c r="AB64" s="740"/>
      <c r="AC64" s="740"/>
      <c r="AD64" s="740"/>
      <c r="AE64" s="740"/>
      <c r="AF64" s="740"/>
      <c r="AG64" s="740"/>
      <c r="AH64" s="740"/>
      <c r="AI64" s="740"/>
      <c r="AJ64" s="740"/>
      <c r="AK64" s="740"/>
      <c r="AL64" s="740"/>
      <c r="AM64" s="740"/>
      <c r="AN64" s="740"/>
      <c r="AO64" s="740"/>
      <c r="AP64" s="740"/>
      <c r="AQ64" s="740"/>
      <c r="AR64" s="740"/>
      <c r="AS64" s="740"/>
      <c r="AT64" s="740"/>
      <c r="AU64" s="740"/>
      <c r="AV64" s="740"/>
      <c r="AW64" s="740"/>
      <c r="AX64" s="740"/>
      <c r="AY64" s="740"/>
      <c r="AZ64" s="740"/>
      <c r="BA64" s="740"/>
      <c r="BB64" s="740"/>
      <c r="BC64" s="740"/>
      <c r="BD64" s="740"/>
      <c r="BE64" s="740"/>
      <c r="BF64" s="740"/>
      <c r="BG64" s="740"/>
      <c r="BH64" s="740"/>
      <c r="BI64" s="740"/>
      <c r="BJ64" s="740"/>
      <c r="BK64" s="740"/>
      <c r="BL64" s="740"/>
      <c r="BM64" s="740"/>
      <c r="BN64" s="740"/>
      <c r="BO64" s="740"/>
      <c r="BP64" s="740"/>
      <c r="BQ64" s="740"/>
      <c r="BR64" s="740"/>
      <c r="BS64" s="740"/>
      <c r="BT64" s="740"/>
      <c r="BU64" s="740"/>
      <c r="BV64" s="740"/>
      <c r="BW64" s="740"/>
      <c r="BX64" s="740"/>
      <c r="BY64" s="740"/>
      <c r="BZ64" s="740"/>
      <c r="CA64" s="740"/>
      <c r="CB64" s="740"/>
      <c r="CC64" s="740"/>
      <c r="CD64" s="740"/>
      <c r="CE64" s="740"/>
      <c r="CF64" s="740"/>
      <c r="CG64" s="740"/>
      <c r="CH64" s="740"/>
      <c r="CI64" s="740"/>
      <c r="CJ64" s="740"/>
      <c r="CK64" s="740"/>
      <c r="CL64" s="740"/>
      <c r="CM64" s="740"/>
      <c r="CN64" s="740"/>
      <c r="CO64" s="740"/>
      <c r="CP64" s="740"/>
      <c r="CQ64" s="740"/>
      <c r="CR64" s="740"/>
      <c r="CS64" s="740"/>
      <c r="CT64" s="740"/>
      <c r="CU64" s="740"/>
      <c r="CV64" s="740"/>
      <c r="CW64" s="740"/>
      <c r="CX64" s="740"/>
      <c r="CY64" s="740"/>
      <c r="CZ64" s="740"/>
      <c r="DA64" s="740"/>
      <c r="DB64" s="740"/>
      <c r="DC64" s="740"/>
      <c r="DD64" s="740"/>
      <c r="DE64" s="740"/>
      <c r="DF64" s="740"/>
      <c r="DG64" s="740"/>
      <c r="DH64" s="740"/>
      <c r="DI64" s="740"/>
      <c r="DJ64" s="740"/>
      <c r="DK64" s="740"/>
      <c r="DL64" s="740"/>
      <c r="DM64" s="740"/>
      <c r="DN64" s="740"/>
      <c r="DO64" s="740"/>
      <c r="DP64" s="740"/>
      <c r="DQ64" s="740"/>
      <c r="DR64" s="740"/>
      <c r="DS64" s="740"/>
      <c r="DT64" s="740"/>
      <c r="DU64" s="740"/>
      <c r="DV64" s="740"/>
      <c r="DW64" s="740"/>
      <c r="DX64" s="740"/>
      <c r="DY64" s="740"/>
      <c r="DZ64" s="740"/>
      <c r="EA64" s="740"/>
      <c r="EB64" s="740"/>
      <c r="EC64" s="740"/>
      <c r="ED64" s="740"/>
      <c r="EE64" s="740"/>
      <c r="EF64" s="740"/>
      <c r="EG64" s="740"/>
      <c r="EH64" s="740"/>
      <c r="EI64" s="740"/>
      <c r="EJ64" s="740"/>
      <c r="EK64" s="740"/>
      <c r="EL64" s="740"/>
      <c r="EM64" s="740"/>
      <c r="EN64" s="740"/>
      <c r="EO64" s="740"/>
      <c r="EP64" s="740"/>
      <c r="EQ64" s="740"/>
      <c r="ER64" s="740"/>
      <c r="ES64" s="740"/>
      <c r="ET64" s="740"/>
      <c r="EU64" s="740"/>
      <c r="EV64" s="740"/>
      <c r="EW64" s="740"/>
      <c r="EX64" s="740"/>
      <c r="EY64" s="740"/>
      <c r="EZ64" s="740"/>
      <c r="FA64" s="740"/>
      <c r="FB64" s="740"/>
      <c r="FC64" s="740"/>
      <c r="FD64" s="740"/>
      <c r="FE64" s="740"/>
      <c r="FF64" s="740"/>
      <c r="FG64" s="740"/>
      <c r="FH64" s="740"/>
      <c r="FI64" s="740"/>
      <c r="FJ64" s="740"/>
      <c r="FK64" s="740"/>
      <c r="FL64" s="740"/>
      <c r="FM64" s="740"/>
      <c r="FN64" s="740"/>
      <c r="FO64" s="740"/>
      <c r="FP64" s="740"/>
      <c r="FQ64" s="740"/>
      <c r="FR64" s="740"/>
      <c r="FS64" s="740"/>
      <c r="FT64" s="740"/>
      <c r="FU64" s="740"/>
      <c r="FV64" s="740"/>
      <c r="FW64" s="740"/>
      <c r="FX64" s="740"/>
      <c r="FY64" s="740"/>
      <c r="FZ64" s="740"/>
      <c r="GA64" s="740"/>
      <c r="GB64" s="740"/>
      <c r="GC64" s="740"/>
      <c r="GD64" s="740"/>
      <c r="GE64" s="740"/>
      <c r="GF64" s="740"/>
      <c r="GG64" s="740"/>
      <c r="GH64" s="740"/>
      <c r="GI64" s="740"/>
      <c r="GJ64" s="740"/>
      <c r="GK64" s="740"/>
      <c r="GL64" s="740"/>
      <c r="GM64" s="740"/>
      <c r="GN64" s="740"/>
      <c r="GO64" s="740"/>
      <c r="GP64" s="740"/>
      <c r="GQ64" s="740"/>
      <c r="GR64" s="740"/>
      <c r="GS64" s="740"/>
      <c r="GT64" s="740"/>
      <c r="GU64" s="740"/>
      <c r="GV64" s="740"/>
      <c r="GW64" s="740"/>
    </row>
    <row r="65" spans="1:205" ht="6.75" customHeight="1" x14ac:dyDescent="0.2">
      <c r="A65" s="2503"/>
      <c r="C65"/>
      <c r="D65" s="641"/>
      <c r="E65" s="16"/>
      <c r="F65" s="16"/>
      <c r="G65" s="16"/>
      <c r="H65" s="16"/>
      <c r="I65" s="16"/>
      <c r="J65" s="190"/>
      <c r="K65" s="16"/>
      <c r="L65" s="16"/>
      <c r="M65" s="16"/>
      <c r="N65" s="16"/>
      <c r="O65" s="16"/>
      <c r="P65" s="16"/>
      <c r="Q65" s="16"/>
      <c r="R65" s="25"/>
      <c r="S65"/>
      <c r="T65" s="740"/>
      <c r="U65" s="740"/>
      <c r="V65" s="740"/>
      <c r="W65" s="740"/>
      <c r="X65" s="740"/>
      <c r="Y65" s="740"/>
      <c r="Z65" s="740"/>
      <c r="AA65" s="740"/>
      <c r="AB65" s="740"/>
      <c r="AC65" s="740"/>
      <c r="AD65" s="740"/>
      <c r="AE65" s="740"/>
      <c r="AF65" s="740"/>
      <c r="AG65" s="740"/>
      <c r="AH65" s="740"/>
      <c r="AI65" s="740"/>
      <c r="AJ65" s="740"/>
      <c r="AK65" s="740"/>
      <c r="AL65" s="740"/>
      <c r="AM65" s="740"/>
      <c r="AN65" s="740"/>
      <c r="AO65" s="740"/>
      <c r="AP65" s="740"/>
      <c r="AQ65" s="740"/>
      <c r="AR65" s="740"/>
      <c r="AS65" s="740"/>
      <c r="AT65" s="740"/>
      <c r="AU65" s="740"/>
      <c r="AV65" s="740"/>
      <c r="AW65" s="740"/>
      <c r="AX65" s="740"/>
      <c r="AY65" s="740"/>
      <c r="AZ65" s="740"/>
      <c r="BA65" s="740"/>
      <c r="BB65" s="740"/>
      <c r="BC65" s="740"/>
      <c r="BD65" s="740"/>
      <c r="BE65" s="740"/>
      <c r="BF65" s="740"/>
      <c r="BG65" s="740"/>
      <c r="BH65" s="740"/>
      <c r="BI65" s="740"/>
      <c r="BJ65" s="740"/>
      <c r="BK65" s="740"/>
      <c r="BL65" s="740"/>
      <c r="BM65" s="740"/>
      <c r="BN65" s="740"/>
      <c r="BO65" s="740"/>
      <c r="BP65" s="740"/>
      <c r="BQ65" s="740"/>
      <c r="BR65" s="740"/>
      <c r="BS65" s="740"/>
      <c r="BT65" s="740"/>
      <c r="BU65" s="740"/>
      <c r="BV65" s="740"/>
      <c r="BW65" s="740"/>
      <c r="BX65" s="740"/>
      <c r="BY65" s="740"/>
      <c r="BZ65" s="740"/>
      <c r="CA65" s="740"/>
      <c r="CB65" s="740"/>
      <c r="CC65" s="740"/>
      <c r="CD65" s="740"/>
      <c r="CE65" s="740"/>
      <c r="CF65" s="740"/>
      <c r="CG65" s="740"/>
      <c r="CH65" s="740"/>
      <c r="CI65" s="740"/>
      <c r="CJ65" s="740"/>
      <c r="CK65" s="740"/>
      <c r="CL65" s="740"/>
      <c r="CM65" s="740"/>
      <c r="CN65" s="740"/>
      <c r="CO65" s="740"/>
      <c r="CP65" s="740"/>
      <c r="CQ65" s="740"/>
      <c r="CR65" s="740"/>
      <c r="CS65" s="740"/>
      <c r="CT65" s="740"/>
      <c r="CU65" s="740"/>
      <c r="CV65" s="740"/>
      <c r="CW65" s="740"/>
      <c r="CX65" s="740"/>
      <c r="CY65" s="740"/>
      <c r="CZ65" s="740"/>
      <c r="DA65" s="740"/>
      <c r="DB65" s="740"/>
      <c r="DC65" s="740"/>
      <c r="DD65" s="740"/>
      <c r="DE65" s="740"/>
      <c r="DF65" s="740"/>
      <c r="DG65" s="740"/>
      <c r="DH65" s="740"/>
      <c r="DI65" s="740"/>
      <c r="DJ65" s="740"/>
      <c r="DK65" s="740"/>
      <c r="DL65" s="740"/>
      <c r="DM65" s="740"/>
      <c r="DN65" s="740"/>
      <c r="DO65" s="740"/>
      <c r="DP65" s="740"/>
      <c r="DQ65" s="740"/>
      <c r="DR65" s="740"/>
      <c r="DS65" s="740"/>
      <c r="DT65" s="740"/>
      <c r="DU65" s="740"/>
      <c r="DV65" s="740"/>
      <c r="DW65" s="740"/>
      <c r="DX65" s="740"/>
      <c r="DY65" s="740"/>
      <c r="DZ65" s="740"/>
      <c r="EA65" s="740"/>
      <c r="EB65" s="740"/>
      <c r="EC65" s="740"/>
      <c r="ED65" s="740"/>
      <c r="EE65" s="740"/>
      <c r="EF65" s="740"/>
      <c r="EG65" s="740"/>
      <c r="EH65" s="740"/>
      <c r="EI65" s="740"/>
      <c r="EJ65" s="740"/>
      <c r="EK65" s="740"/>
      <c r="EL65" s="740"/>
      <c r="EM65" s="740"/>
      <c r="EN65" s="740"/>
      <c r="EO65" s="740"/>
      <c r="EP65" s="740"/>
      <c r="EQ65" s="740"/>
      <c r="ER65" s="740"/>
      <c r="ES65" s="740"/>
      <c r="ET65" s="740"/>
      <c r="EU65" s="740"/>
      <c r="EV65" s="740"/>
      <c r="EW65" s="740"/>
      <c r="EX65" s="740"/>
      <c r="EY65" s="740"/>
      <c r="EZ65" s="740"/>
      <c r="FA65" s="740"/>
      <c r="FB65" s="740"/>
      <c r="FC65" s="740"/>
      <c r="FD65" s="740"/>
      <c r="FE65" s="740"/>
      <c r="FF65" s="740"/>
      <c r="FG65" s="740"/>
      <c r="FH65" s="740"/>
      <c r="FI65" s="740"/>
      <c r="FJ65" s="740"/>
      <c r="FK65" s="740"/>
      <c r="FL65" s="740"/>
      <c r="FM65" s="740"/>
      <c r="FN65" s="740"/>
      <c r="FO65" s="740"/>
      <c r="FP65" s="740"/>
      <c r="FQ65" s="740"/>
      <c r="FR65" s="740"/>
      <c r="FS65" s="740"/>
      <c r="FT65" s="740"/>
      <c r="FU65" s="740"/>
      <c r="FV65" s="740"/>
      <c r="FW65" s="740"/>
      <c r="FX65" s="740"/>
      <c r="FY65" s="740"/>
      <c r="FZ65" s="740"/>
      <c r="GA65" s="740"/>
      <c r="GB65" s="740"/>
      <c r="GC65" s="740"/>
      <c r="GD65" s="740"/>
      <c r="GE65" s="740"/>
      <c r="GF65" s="740"/>
      <c r="GG65" s="740"/>
      <c r="GH65" s="740"/>
      <c r="GI65" s="740"/>
      <c r="GJ65" s="740"/>
      <c r="GK65" s="740"/>
      <c r="GL65" s="740"/>
      <c r="GM65" s="740"/>
      <c r="GN65" s="740"/>
      <c r="GO65" s="740"/>
      <c r="GP65" s="740"/>
      <c r="GQ65" s="740"/>
      <c r="GR65" s="740"/>
      <c r="GS65" s="740"/>
      <c r="GT65" s="740"/>
      <c r="GU65" s="740"/>
      <c r="GV65" s="740"/>
      <c r="GW65" s="740"/>
    </row>
    <row r="66" spans="1:205" ht="24" customHeight="1" x14ac:dyDescent="0.25">
      <c r="A66" s="2503"/>
      <c r="C66"/>
      <c r="D66" s="436"/>
      <c r="E66" s="178"/>
      <c r="F66" s="259"/>
      <c r="G66" s="259"/>
      <c r="H66" s="259"/>
      <c r="I66" s="259"/>
      <c r="J66" s="3988" t="s">
        <v>632</v>
      </c>
      <c r="K66" s="3989"/>
      <c r="L66" s="3989"/>
      <c r="M66" s="3989"/>
      <c r="N66" s="3989"/>
      <c r="O66" s="3989"/>
      <c r="P66" s="3989"/>
      <c r="Q66" s="3989"/>
      <c r="R66" s="3990"/>
      <c r="S66"/>
      <c r="T66" s="740"/>
      <c r="U66" s="740"/>
      <c r="V66" s="740"/>
      <c r="W66" s="740"/>
      <c r="X66" s="740"/>
      <c r="Y66" s="740"/>
      <c r="Z66" s="740"/>
      <c r="AA66" s="740"/>
      <c r="AB66" s="740"/>
      <c r="AC66" s="740"/>
      <c r="AD66" s="740"/>
      <c r="AE66" s="740"/>
      <c r="AF66" s="740"/>
      <c r="AG66" s="740"/>
      <c r="AH66" s="740"/>
      <c r="AI66" s="740"/>
      <c r="AJ66" s="740"/>
      <c r="AK66" s="740"/>
      <c r="AL66" s="740"/>
      <c r="AM66" s="740"/>
      <c r="AN66" s="740"/>
      <c r="AO66" s="740"/>
      <c r="AP66" s="740"/>
      <c r="AQ66" s="740"/>
      <c r="AR66" s="740"/>
      <c r="AS66" s="740"/>
      <c r="AT66" s="740"/>
      <c r="AU66" s="740"/>
      <c r="AV66" s="740"/>
      <c r="AW66" s="740"/>
      <c r="AX66" s="740"/>
      <c r="AY66" s="740"/>
      <c r="AZ66" s="740"/>
      <c r="BA66" s="740"/>
      <c r="BB66" s="740"/>
      <c r="BC66" s="740"/>
      <c r="BD66" s="740"/>
      <c r="BE66" s="740"/>
      <c r="BF66" s="740"/>
      <c r="BG66" s="740"/>
      <c r="BH66" s="740"/>
      <c r="BI66" s="740"/>
      <c r="BJ66" s="740"/>
      <c r="BK66" s="740"/>
      <c r="BL66" s="740"/>
      <c r="BM66" s="740"/>
      <c r="BN66" s="740"/>
      <c r="BO66" s="740"/>
      <c r="BP66" s="740"/>
      <c r="BQ66" s="740"/>
      <c r="BR66" s="740"/>
      <c r="BS66" s="740"/>
      <c r="BT66" s="740"/>
      <c r="BU66" s="740"/>
      <c r="BV66" s="740"/>
      <c r="BW66" s="740"/>
      <c r="BX66" s="740"/>
      <c r="BY66" s="740"/>
      <c r="BZ66" s="740"/>
      <c r="CA66" s="740"/>
      <c r="CB66" s="740"/>
      <c r="CC66" s="740"/>
      <c r="CD66" s="740"/>
      <c r="CE66" s="740"/>
      <c r="CF66" s="740"/>
      <c r="CG66" s="740"/>
      <c r="CH66" s="740"/>
      <c r="CI66" s="740"/>
      <c r="CJ66" s="740"/>
      <c r="CK66" s="740"/>
      <c r="CL66" s="740"/>
      <c r="CM66" s="740"/>
      <c r="CN66" s="740"/>
      <c r="CO66" s="740"/>
      <c r="CP66" s="740"/>
      <c r="CQ66" s="740"/>
      <c r="CR66" s="740"/>
      <c r="CS66" s="740"/>
      <c r="CT66" s="740"/>
      <c r="CU66" s="740"/>
      <c r="CV66" s="740"/>
      <c r="CW66" s="740"/>
      <c r="CX66" s="740"/>
      <c r="CY66" s="740"/>
      <c r="CZ66" s="740"/>
      <c r="DA66" s="740"/>
      <c r="DB66" s="740"/>
      <c r="DC66" s="740"/>
      <c r="DD66" s="740"/>
      <c r="DE66" s="740"/>
      <c r="DF66" s="740"/>
      <c r="DG66" s="740"/>
      <c r="DH66" s="740"/>
      <c r="DI66" s="740"/>
      <c r="DJ66" s="740"/>
      <c r="DK66" s="740"/>
      <c r="DL66" s="740"/>
      <c r="DM66" s="740"/>
      <c r="DN66" s="740"/>
      <c r="DO66" s="740"/>
      <c r="DP66" s="740"/>
      <c r="DQ66" s="740"/>
      <c r="DR66" s="740"/>
      <c r="DS66" s="740"/>
      <c r="DT66" s="740"/>
      <c r="DU66" s="740"/>
      <c r="DV66" s="740"/>
      <c r="DW66" s="740"/>
      <c r="DX66" s="740"/>
      <c r="DY66" s="740"/>
      <c r="DZ66" s="740"/>
      <c r="EA66" s="740"/>
      <c r="EB66" s="740"/>
      <c r="EC66" s="740"/>
      <c r="ED66" s="740"/>
      <c r="EE66" s="740"/>
      <c r="EF66" s="740"/>
      <c r="EG66" s="740"/>
      <c r="EH66" s="740"/>
      <c r="EI66" s="740"/>
      <c r="EJ66" s="740"/>
      <c r="EK66" s="740"/>
      <c r="EL66" s="740"/>
      <c r="EM66" s="740"/>
      <c r="EN66" s="740"/>
      <c r="EO66" s="740"/>
      <c r="EP66" s="740"/>
      <c r="EQ66" s="740"/>
      <c r="ER66" s="740"/>
      <c r="ES66" s="740"/>
      <c r="ET66" s="740"/>
      <c r="EU66" s="740"/>
      <c r="EV66" s="740"/>
      <c r="EW66" s="740"/>
      <c r="EX66" s="740"/>
      <c r="EY66" s="740"/>
      <c r="EZ66" s="740"/>
      <c r="FA66" s="740"/>
      <c r="FB66" s="740"/>
      <c r="FC66" s="740"/>
      <c r="FD66" s="740"/>
      <c r="FE66" s="740"/>
      <c r="FF66" s="740"/>
      <c r="FG66" s="740"/>
      <c r="FH66" s="740"/>
      <c r="FI66" s="740"/>
      <c r="FJ66" s="740"/>
      <c r="FK66" s="740"/>
      <c r="FL66" s="740"/>
      <c r="FM66" s="740"/>
      <c r="FN66" s="740"/>
      <c r="FO66" s="740"/>
      <c r="FP66" s="740"/>
      <c r="FQ66" s="740"/>
      <c r="FR66" s="740"/>
      <c r="FS66" s="740"/>
      <c r="FT66" s="740"/>
      <c r="FU66" s="740"/>
      <c r="FV66" s="740"/>
      <c r="FW66" s="740"/>
      <c r="FX66" s="740"/>
      <c r="FY66" s="740"/>
      <c r="FZ66" s="740"/>
      <c r="GA66" s="740"/>
      <c r="GB66" s="740"/>
      <c r="GC66" s="740"/>
      <c r="GD66" s="740"/>
      <c r="GE66" s="740"/>
      <c r="GF66" s="740"/>
      <c r="GG66" s="740"/>
      <c r="GH66" s="740"/>
      <c r="GI66" s="740"/>
      <c r="GJ66" s="740"/>
      <c r="GK66" s="740"/>
      <c r="GL66" s="740"/>
      <c r="GM66" s="740"/>
      <c r="GN66" s="740"/>
      <c r="GO66" s="740"/>
      <c r="GP66" s="740"/>
      <c r="GQ66" s="740"/>
      <c r="GR66" s="740"/>
      <c r="GS66" s="740"/>
      <c r="GT66" s="740"/>
      <c r="GU66" s="740"/>
      <c r="GV66" s="740"/>
      <c r="GW66" s="740"/>
    </row>
    <row r="67" spans="1:205" ht="24" customHeight="1" x14ac:dyDescent="0.2">
      <c r="A67" s="2503"/>
      <c r="C67"/>
      <c r="D67" s="385"/>
      <c r="E67" s="199"/>
      <c r="F67" s="611"/>
      <c r="G67" s="611"/>
      <c r="H67" s="611"/>
      <c r="I67" s="612"/>
      <c r="J67" s="611">
        <v>25</v>
      </c>
      <c r="K67" s="611">
        <v>26</v>
      </c>
      <c r="L67" s="1051">
        <v>27</v>
      </c>
      <c r="M67" s="611">
        <v>28</v>
      </c>
      <c r="N67" s="611">
        <v>29</v>
      </c>
      <c r="O67" s="1051">
        <v>30</v>
      </c>
      <c r="P67" s="611">
        <v>31</v>
      </c>
      <c r="Q67" s="611">
        <v>32</v>
      </c>
      <c r="R67" s="1051">
        <v>33</v>
      </c>
      <c r="S67"/>
      <c r="T67" s="740"/>
      <c r="U67" s="740"/>
      <c r="V67" s="740"/>
      <c r="W67" s="740"/>
      <c r="X67" s="740"/>
      <c r="Y67" s="740"/>
      <c r="Z67" s="740"/>
      <c r="AA67" s="740"/>
      <c r="AB67" s="740"/>
      <c r="AC67" s="740"/>
      <c r="AD67" s="740"/>
      <c r="AE67" s="740"/>
      <c r="AF67" s="740"/>
      <c r="AG67" s="740"/>
      <c r="AH67" s="740"/>
      <c r="AI67" s="740"/>
      <c r="AJ67" s="740"/>
      <c r="AK67" s="740"/>
      <c r="AL67" s="740"/>
      <c r="AM67" s="740"/>
      <c r="AN67" s="740"/>
      <c r="AO67" s="740"/>
      <c r="AP67" s="740"/>
      <c r="AQ67" s="740"/>
      <c r="AR67" s="740"/>
      <c r="AS67" s="740"/>
      <c r="AT67" s="740"/>
      <c r="AU67" s="740"/>
      <c r="AV67" s="740"/>
      <c r="AW67" s="740"/>
      <c r="AX67" s="740"/>
      <c r="AY67" s="740"/>
      <c r="AZ67" s="740"/>
      <c r="BA67" s="740"/>
      <c r="BB67" s="740"/>
      <c r="BC67" s="740"/>
      <c r="BD67" s="740"/>
      <c r="BE67" s="740"/>
      <c r="BF67" s="740"/>
      <c r="BG67" s="740"/>
      <c r="BH67" s="740"/>
      <c r="BI67" s="740"/>
      <c r="BJ67" s="740"/>
      <c r="BK67" s="740"/>
      <c r="BL67" s="740"/>
      <c r="BM67" s="740"/>
      <c r="BN67" s="740"/>
      <c r="BO67" s="740"/>
      <c r="BP67" s="740"/>
      <c r="BQ67" s="740"/>
      <c r="BR67" s="740"/>
      <c r="BS67" s="740"/>
      <c r="BT67" s="740"/>
      <c r="BU67" s="740"/>
      <c r="BV67" s="740"/>
      <c r="BW67" s="740"/>
      <c r="BX67" s="740"/>
      <c r="BY67" s="740"/>
      <c r="BZ67" s="740"/>
      <c r="CA67" s="740"/>
      <c r="CB67" s="740"/>
      <c r="CC67" s="740"/>
      <c r="CD67" s="740"/>
      <c r="CE67" s="740"/>
      <c r="CF67" s="740"/>
      <c r="CG67" s="740"/>
      <c r="CH67" s="740"/>
      <c r="CI67" s="740"/>
      <c r="CJ67" s="740"/>
      <c r="CK67" s="740"/>
      <c r="CL67" s="740"/>
      <c r="CM67" s="740"/>
      <c r="CN67" s="740"/>
      <c r="CO67" s="740"/>
      <c r="CP67" s="740"/>
      <c r="CQ67" s="740"/>
      <c r="CR67" s="740"/>
      <c r="CS67" s="740"/>
      <c r="CT67" s="740"/>
      <c r="CU67" s="740"/>
      <c r="CV67" s="740"/>
      <c r="CW67" s="740"/>
      <c r="CX67" s="740"/>
      <c r="CY67" s="740"/>
      <c r="CZ67" s="740"/>
      <c r="DA67" s="740"/>
      <c r="DB67" s="740"/>
      <c r="DC67" s="740"/>
      <c r="DD67" s="740"/>
      <c r="DE67" s="740"/>
      <c r="DF67" s="740"/>
      <c r="DG67" s="740"/>
      <c r="DH67" s="740"/>
      <c r="DI67" s="740"/>
      <c r="DJ67" s="740"/>
      <c r="DK67" s="740"/>
      <c r="DL67" s="740"/>
      <c r="DM67" s="740"/>
      <c r="DN67" s="740"/>
      <c r="DO67" s="740"/>
      <c r="DP67" s="740"/>
      <c r="DQ67" s="740"/>
      <c r="DR67" s="740"/>
      <c r="DS67" s="740"/>
      <c r="DT67" s="740"/>
      <c r="DU67" s="740"/>
      <c r="DV67" s="740"/>
      <c r="DW67" s="740"/>
      <c r="DX67" s="740"/>
      <c r="DY67" s="740"/>
      <c r="DZ67" s="740"/>
      <c r="EA67" s="740"/>
      <c r="EB67" s="740"/>
      <c r="EC67" s="740"/>
      <c r="ED67" s="740"/>
      <c r="EE67" s="740"/>
      <c r="EF67" s="740"/>
      <c r="EG67" s="740"/>
      <c r="EH67" s="740"/>
      <c r="EI67" s="740"/>
      <c r="EJ67" s="740"/>
      <c r="EK67" s="740"/>
      <c r="EL67" s="740"/>
      <c r="EM67" s="740"/>
      <c r="EN67" s="740"/>
      <c r="EO67" s="740"/>
      <c r="EP67" s="740"/>
      <c r="EQ67" s="740"/>
      <c r="ER67" s="740"/>
      <c r="ES67" s="740"/>
      <c r="ET67" s="740"/>
      <c r="EU67" s="740"/>
      <c r="EV67" s="740"/>
      <c r="EW67" s="740"/>
      <c r="EX67" s="740"/>
      <c r="EY67" s="740"/>
      <c r="EZ67" s="740"/>
      <c r="FA67" s="740"/>
      <c r="FB67" s="740"/>
      <c r="FC67" s="740"/>
      <c r="FD67" s="740"/>
      <c r="FE67" s="740"/>
      <c r="FF67" s="740"/>
      <c r="FG67" s="740"/>
      <c r="FH67" s="740"/>
      <c r="FI67" s="740"/>
      <c r="FJ67" s="740"/>
      <c r="FK67" s="740"/>
      <c r="FL67" s="740"/>
      <c r="FM67" s="740"/>
      <c r="FN67" s="740"/>
      <c r="FO67" s="740"/>
      <c r="FP67" s="740"/>
      <c r="FQ67" s="740"/>
      <c r="FR67" s="740"/>
      <c r="FS67" s="740"/>
      <c r="FT67" s="740"/>
      <c r="FU67" s="740"/>
      <c r="FV67" s="740"/>
      <c r="FW67" s="740"/>
      <c r="FX67" s="740"/>
      <c r="FY67" s="740"/>
      <c r="FZ67" s="740"/>
      <c r="GA67" s="740"/>
      <c r="GB67" s="740"/>
      <c r="GC67" s="740"/>
      <c r="GD67" s="740"/>
      <c r="GE67" s="740"/>
      <c r="GF67" s="740"/>
      <c r="GG67" s="740"/>
      <c r="GH67" s="740"/>
      <c r="GI67" s="740"/>
      <c r="GJ67" s="740"/>
      <c r="GK67" s="740"/>
      <c r="GL67" s="740"/>
      <c r="GM67" s="740"/>
      <c r="GN67" s="740"/>
      <c r="GO67" s="740"/>
      <c r="GP67" s="740"/>
      <c r="GQ67" s="740"/>
      <c r="GR67" s="740"/>
      <c r="GS67" s="740"/>
      <c r="GT67" s="740"/>
      <c r="GU67" s="740"/>
      <c r="GV67" s="740"/>
      <c r="GW67" s="740"/>
    </row>
    <row r="68" spans="1:205" ht="24" customHeight="1" x14ac:dyDescent="0.2">
      <c r="A68" s="2503"/>
      <c r="C68"/>
      <c r="D68" s="37"/>
      <c r="E68" s="28" t="s">
        <v>563</v>
      </c>
      <c r="F68" s="28"/>
      <c r="G68" s="28"/>
      <c r="H68" s="28"/>
      <c r="I68" s="300" t="s">
        <v>570</v>
      </c>
      <c r="K68" s="28"/>
      <c r="L68" s="1026">
        <v>44410</v>
      </c>
      <c r="M68" s="1017"/>
      <c r="N68" s="1017"/>
      <c r="O68" s="1026">
        <v>50280</v>
      </c>
      <c r="P68" s="1017"/>
      <c r="Q68" s="1017"/>
      <c r="R68" s="1026">
        <v>55870</v>
      </c>
      <c r="S68"/>
      <c r="T68" s="740"/>
      <c r="U68" s="740"/>
      <c r="V68" s="740"/>
      <c r="W68" s="740"/>
      <c r="X68" s="740"/>
      <c r="Y68" s="740"/>
      <c r="Z68" s="740"/>
      <c r="AA68" s="740"/>
      <c r="AB68" s="740"/>
      <c r="AC68" s="740"/>
      <c r="AD68" s="740"/>
      <c r="AE68" s="740"/>
      <c r="AF68" s="740"/>
      <c r="AG68" s="740"/>
      <c r="AH68" s="740"/>
      <c r="AI68" s="740"/>
      <c r="AJ68" s="740"/>
      <c r="AK68" s="740"/>
      <c r="AL68" s="740"/>
      <c r="AM68" s="740"/>
      <c r="AN68" s="740"/>
      <c r="AO68" s="740"/>
      <c r="AP68" s="740"/>
      <c r="AQ68" s="740"/>
      <c r="AR68" s="740"/>
      <c r="AS68" s="740"/>
      <c r="AT68" s="740"/>
      <c r="AU68" s="740"/>
      <c r="AV68" s="740"/>
      <c r="AW68" s="740"/>
      <c r="AX68" s="740"/>
      <c r="AY68" s="740"/>
      <c r="AZ68" s="740"/>
      <c r="BA68" s="740"/>
      <c r="BB68" s="740"/>
      <c r="BC68" s="740"/>
      <c r="BD68" s="740"/>
      <c r="BE68" s="740"/>
      <c r="BF68" s="740"/>
      <c r="BG68" s="740"/>
      <c r="BH68" s="740"/>
      <c r="BI68" s="740"/>
      <c r="BJ68" s="740"/>
      <c r="BK68" s="740"/>
      <c r="BL68" s="740"/>
      <c r="BM68" s="740"/>
      <c r="BN68" s="740"/>
      <c r="BO68" s="740"/>
      <c r="BP68" s="740"/>
      <c r="BQ68" s="740"/>
      <c r="BR68" s="740"/>
      <c r="BS68" s="740"/>
      <c r="BT68" s="740"/>
      <c r="BU68" s="740"/>
      <c r="BV68" s="740"/>
      <c r="BW68" s="740"/>
      <c r="BX68" s="740"/>
      <c r="BY68" s="740"/>
      <c r="BZ68" s="740"/>
      <c r="CA68" s="740"/>
      <c r="CB68" s="740"/>
      <c r="CC68" s="740"/>
      <c r="CD68" s="740"/>
      <c r="CE68" s="740"/>
      <c r="CF68" s="740"/>
      <c r="CG68" s="740"/>
      <c r="CH68" s="740"/>
      <c r="CI68" s="740"/>
      <c r="CJ68" s="740"/>
      <c r="CK68" s="740"/>
      <c r="CL68" s="740"/>
      <c r="CM68" s="740"/>
      <c r="CN68" s="740"/>
      <c r="CO68" s="740"/>
      <c r="CP68" s="740"/>
      <c r="CQ68" s="740"/>
      <c r="CR68" s="740"/>
      <c r="CS68" s="740"/>
      <c r="CT68" s="740"/>
      <c r="CU68" s="740"/>
      <c r="CV68" s="740"/>
      <c r="CW68" s="740"/>
      <c r="CX68" s="740"/>
      <c r="CY68" s="740"/>
      <c r="CZ68" s="740"/>
      <c r="DA68" s="740"/>
      <c r="DB68" s="740"/>
      <c r="DC68" s="740"/>
      <c r="DD68" s="740"/>
      <c r="DE68" s="740"/>
      <c r="DF68" s="740"/>
      <c r="DG68" s="740"/>
      <c r="DH68" s="740"/>
      <c r="DI68" s="740"/>
      <c r="DJ68" s="740"/>
      <c r="DK68" s="740"/>
      <c r="DL68" s="740"/>
      <c r="DM68" s="740"/>
      <c r="DN68" s="740"/>
      <c r="DO68" s="740"/>
      <c r="DP68" s="740"/>
      <c r="DQ68" s="740"/>
      <c r="DR68" s="740"/>
      <c r="DS68" s="740"/>
      <c r="DT68" s="740"/>
      <c r="DU68" s="740"/>
      <c r="DV68" s="740"/>
      <c r="DW68" s="740"/>
      <c r="DX68" s="740"/>
      <c r="DY68" s="740"/>
      <c r="DZ68" s="740"/>
      <c r="EA68" s="740"/>
      <c r="EB68" s="740"/>
      <c r="EC68" s="740"/>
      <c r="ED68" s="740"/>
      <c r="EE68" s="740"/>
      <c r="EF68" s="740"/>
      <c r="EG68" s="740"/>
      <c r="EH68" s="740"/>
      <c r="EI68" s="740"/>
      <c r="EJ68" s="740"/>
      <c r="EK68" s="740"/>
      <c r="EL68" s="740"/>
      <c r="EM68" s="740"/>
      <c r="EN68" s="740"/>
      <c r="EO68" s="740"/>
      <c r="EP68" s="740"/>
      <c r="EQ68" s="740"/>
      <c r="ER68" s="740"/>
      <c r="ES68" s="740"/>
      <c r="ET68" s="740"/>
      <c r="EU68" s="740"/>
      <c r="EV68" s="740"/>
      <c r="EW68" s="740"/>
      <c r="EX68" s="740"/>
      <c r="EY68" s="740"/>
      <c r="EZ68" s="740"/>
      <c r="FA68" s="740"/>
      <c r="FB68" s="740"/>
      <c r="FC68" s="740"/>
      <c r="FD68" s="740"/>
      <c r="FE68" s="740"/>
      <c r="FF68" s="740"/>
      <c r="FG68" s="740"/>
      <c r="FH68" s="740"/>
      <c r="FI68" s="740"/>
      <c r="FJ68" s="740"/>
      <c r="FK68" s="740"/>
      <c r="FL68" s="740"/>
      <c r="FM68" s="740"/>
      <c r="FN68" s="740"/>
      <c r="FO68" s="740"/>
      <c r="FP68" s="740"/>
      <c r="FQ68" s="740"/>
      <c r="FR68" s="740"/>
      <c r="FS68" s="740"/>
      <c r="FT68" s="740"/>
      <c r="FU68" s="740"/>
      <c r="FV68" s="740"/>
      <c r="FW68" s="740"/>
      <c r="FX68" s="740"/>
      <c r="FY68" s="740"/>
      <c r="FZ68" s="740"/>
      <c r="GA68" s="740"/>
      <c r="GB68" s="740"/>
      <c r="GC68" s="740"/>
      <c r="GD68" s="740"/>
      <c r="GE68" s="740"/>
      <c r="GF68" s="740"/>
      <c r="GG68" s="740"/>
      <c r="GH68" s="740"/>
      <c r="GI68" s="740"/>
      <c r="GJ68" s="740"/>
      <c r="GK68" s="740"/>
      <c r="GL68" s="740"/>
      <c r="GM68" s="740"/>
      <c r="GN68" s="740"/>
      <c r="GO68" s="740"/>
      <c r="GP68" s="740"/>
      <c r="GQ68" s="740"/>
      <c r="GR68" s="740"/>
      <c r="GS68" s="740"/>
      <c r="GT68" s="740"/>
      <c r="GU68" s="740"/>
      <c r="GV68" s="740"/>
      <c r="GW68" s="740"/>
    </row>
    <row r="69" spans="1:205" ht="24" customHeight="1" x14ac:dyDescent="0.2">
      <c r="A69" s="2503"/>
      <c r="C69"/>
      <c r="D69" s="37"/>
      <c r="E69" s="28" t="s">
        <v>564</v>
      </c>
      <c r="F69" s="28"/>
      <c r="H69" s="28"/>
      <c r="I69" s="300"/>
      <c r="K69" s="28"/>
      <c r="L69" s="1026"/>
      <c r="M69" s="1017"/>
      <c r="N69" s="1017"/>
      <c r="O69" s="1026">
        <f>O68-L68</f>
        <v>5870</v>
      </c>
      <c r="P69" s="1017"/>
      <c r="Q69" s="1017"/>
      <c r="R69" s="1026">
        <f>R68-O68</f>
        <v>5590</v>
      </c>
      <c r="S69"/>
      <c r="T69" s="740"/>
      <c r="U69" s="740"/>
      <c r="V69" s="740"/>
      <c r="W69" s="740"/>
      <c r="X69" s="740"/>
      <c r="Y69" s="740"/>
      <c r="Z69" s="740"/>
      <c r="AA69" s="740"/>
      <c r="AB69" s="740"/>
      <c r="AC69" s="740"/>
      <c r="AD69" s="740"/>
      <c r="AE69" s="740"/>
      <c r="AF69" s="740"/>
      <c r="AG69" s="740"/>
      <c r="AH69" s="740"/>
      <c r="AI69" s="740"/>
      <c r="AJ69" s="740"/>
      <c r="AK69" s="740"/>
      <c r="AL69" s="740"/>
      <c r="AM69" s="740"/>
      <c r="AN69" s="740"/>
      <c r="AO69" s="740"/>
      <c r="AP69" s="740"/>
      <c r="AQ69" s="740"/>
      <c r="AR69" s="740"/>
      <c r="AS69" s="740"/>
      <c r="AT69" s="740"/>
      <c r="AU69" s="740"/>
      <c r="AV69" s="740"/>
      <c r="AW69" s="740"/>
      <c r="AX69" s="740"/>
      <c r="AY69" s="740"/>
      <c r="AZ69" s="740"/>
      <c r="BA69" s="740"/>
      <c r="BB69" s="740"/>
      <c r="BC69" s="740"/>
      <c r="BD69" s="740"/>
      <c r="BE69" s="740"/>
      <c r="BF69" s="740"/>
      <c r="BG69" s="740"/>
      <c r="BH69" s="740"/>
      <c r="BI69" s="740"/>
      <c r="BJ69" s="740"/>
      <c r="BK69" s="740"/>
      <c r="BL69" s="740"/>
      <c r="BM69" s="740"/>
      <c r="BN69" s="740"/>
      <c r="BO69" s="740"/>
      <c r="BP69" s="740"/>
      <c r="BQ69" s="740"/>
      <c r="BR69" s="740"/>
      <c r="BS69" s="740"/>
      <c r="BT69" s="740"/>
      <c r="BU69" s="740"/>
      <c r="BV69" s="740"/>
      <c r="BW69" s="740"/>
      <c r="BX69" s="740"/>
      <c r="BY69" s="740"/>
      <c r="BZ69" s="740"/>
      <c r="CA69" s="740"/>
      <c r="CB69" s="740"/>
      <c r="CC69" s="740"/>
      <c r="CD69" s="740"/>
      <c r="CE69" s="740"/>
      <c r="CF69" s="740"/>
      <c r="CG69" s="740"/>
      <c r="CH69" s="740"/>
      <c r="CI69" s="740"/>
      <c r="CJ69" s="740"/>
      <c r="CK69" s="740"/>
      <c r="CL69" s="740"/>
      <c r="CM69" s="740"/>
      <c r="CN69" s="740"/>
      <c r="CO69" s="740"/>
      <c r="CP69" s="740"/>
      <c r="CQ69" s="740"/>
      <c r="CR69" s="740"/>
      <c r="CS69" s="740"/>
      <c r="CT69" s="740"/>
      <c r="CU69" s="740"/>
      <c r="CV69" s="740"/>
      <c r="CW69" s="740"/>
      <c r="CX69" s="740"/>
      <c r="CY69" s="740"/>
      <c r="CZ69" s="740"/>
      <c r="DA69" s="740"/>
      <c r="DB69" s="740"/>
      <c r="DC69" s="740"/>
      <c r="DD69" s="740"/>
      <c r="DE69" s="740"/>
      <c r="DF69" s="740"/>
      <c r="DG69" s="740"/>
      <c r="DH69" s="740"/>
      <c r="DI69" s="740"/>
      <c r="DJ69" s="740"/>
      <c r="DK69" s="740"/>
      <c r="DL69" s="740"/>
      <c r="DM69" s="740"/>
      <c r="DN69" s="740"/>
      <c r="DO69" s="740"/>
      <c r="DP69" s="740"/>
      <c r="DQ69" s="740"/>
      <c r="DR69" s="740"/>
      <c r="DS69" s="740"/>
      <c r="DT69" s="740"/>
      <c r="DU69" s="740"/>
      <c r="DV69" s="740"/>
      <c r="DW69" s="740"/>
      <c r="DX69" s="740"/>
      <c r="DY69" s="740"/>
      <c r="DZ69" s="740"/>
      <c r="EA69" s="740"/>
      <c r="EB69" s="740"/>
      <c r="EC69" s="740"/>
      <c r="ED69" s="740"/>
      <c r="EE69" s="740"/>
      <c r="EF69" s="740"/>
      <c r="EG69" s="740"/>
      <c r="EH69" s="740"/>
      <c r="EI69" s="740"/>
      <c r="EJ69" s="740"/>
      <c r="EK69" s="740"/>
      <c r="EL69" s="740"/>
      <c r="EM69" s="740"/>
      <c r="EN69" s="740"/>
      <c r="EO69" s="740"/>
      <c r="EP69" s="740"/>
      <c r="EQ69" s="740"/>
      <c r="ER69" s="740"/>
      <c r="ES69" s="740"/>
      <c r="ET69" s="740"/>
      <c r="EU69" s="740"/>
      <c r="EV69" s="740"/>
      <c r="EW69" s="740"/>
      <c r="EX69" s="740"/>
      <c r="EY69" s="740"/>
      <c r="EZ69" s="740"/>
      <c r="FA69" s="740"/>
      <c r="FB69" s="740"/>
      <c r="FC69" s="740"/>
      <c r="FD69" s="740"/>
      <c r="FE69" s="740"/>
      <c r="FF69" s="740"/>
      <c r="FG69" s="740"/>
      <c r="FH69" s="740"/>
      <c r="FI69" s="740"/>
      <c r="FJ69" s="740"/>
      <c r="FK69" s="740"/>
      <c r="FL69" s="740"/>
      <c r="FM69" s="740"/>
      <c r="FN69" s="740"/>
      <c r="FO69" s="740"/>
      <c r="FP69" s="740"/>
      <c r="FQ69" s="740"/>
      <c r="FR69" s="740"/>
      <c r="FS69" s="740"/>
      <c r="FT69" s="740"/>
      <c r="FU69" s="740"/>
      <c r="FV69" s="740"/>
      <c r="FW69" s="740"/>
      <c r="FX69" s="740"/>
      <c r="FY69" s="740"/>
      <c r="FZ69" s="740"/>
      <c r="GA69" s="740"/>
      <c r="GB69" s="740"/>
      <c r="GC69" s="740"/>
      <c r="GD69" s="740"/>
      <c r="GE69" s="740"/>
      <c r="GF69" s="740"/>
      <c r="GG69" s="740"/>
      <c r="GH69" s="740"/>
      <c r="GI69" s="740"/>
      <c r="GJ69" s="740"/>
      <c r="GK69" s="740"/>
      <c r="GL69" s="740"/>
      <c r="GM69" s="740"/>
      <c r="GN69" s="740"/>
      <c r="GO69" s="740"/>
      <c r="GP69" s="740"/>
      <c r="GQ69" s="740"/>
      <c r="GR69" s="740"/>
      <c r="GS69" s="740"/>
      <c r="GT69" s="740"/>
      <c r="GU69" s="740"/>
      <c r="GV69" s="740"/>
      <c r="GW69" s="740"/>
    </row>
    <row r="70" spans="1:205" ht="24" customHeight="1" x14ac:dyDescent="0.2">
      <c r="A70" s="2503"/>
      <c r="C70"/>
      <c r="D70" s="641"/>
      <c r="E70" s="16" t="s">
        <v>581</v>
      </c>
      <c r="F70" s="16"/>
      <c r="G70" s="190"/>
      <c r="H70" s="16"/>
      <c r="I70" s="25"/>
      <c r="K70" s="16"/>
      <c r="L70" s="1050"/>
      <c r="M70" s="1047"/>
      <c r="N70" s="1047"/>
      <c r="O70" s="1050">
        <f>O69/3</f>
        <v>1956.6666666666667</v>
      </c>
      <c r="P70" s="1047"/>
      <c r="Q70" s="1047"/>
      <c r="R70" s="1050">
        <f>R69/3</f>
        <v>1863.3333333333333</v>
      </c>
      <c r="S70"/>
      <c r="T70" s="740"/>
      <c r="U70" s="740"/>
      <c r="V70" s="740"/>
      <c r="W70" s="740"/>
      <c r="X70" s="740"/>
      <c r="Y70" s="740"/>
      <c r="Z70" s="740"/>
      <c r="AA70" s="740"/>
      <c r="AB70" s="740"/>
      <c r="AC70" s="740"/>
      <c r="AD70" s="740"/>
      <c r="AE70" s="740"/>
      <c r="AF70" s="740"/>
      <c r="AG70" s="740"/>
      <c r="AH70" s="740"/>
      <c r="AI70" s="740"/>
      <c r="AJ70" s="740"/>
      <c r="AK70" s="740"/>
      <c r="AL70" s="740"/>
      <c r="AM70" s="740"/>
      <c r="AN70" s="740"/>
      <c r="AO70" s="740"/>
      <c r="AP70" s="740"/>
      <c r="AQ70" s="740"/>
      <c r="AR70" s="740"/>
      <c r="AS70" s="740"/>
      <c r="AT70" s="740"/>
      <c r="AU70" s="740"/>
      <c r="AV70" s="740"/>
      <c r="AW70" s="740"/>
      <c r="AX70" s="740"/>
      <c r="AY70" s="740"/>
      <c r="AZ70" s="740"/>
      <c r="BA70" s="740"/>
      <c r="BB70" s="740"/>
      <c r="BC70" s="740"/>
      <c r="BD70" s="740"/>
      <c r="BE70" s="740"/>
      <c r="BF70" s="740"/>
      <c r="BG70" s="740"/>
      <c r="BH70" s="740"/>
      <c r="BI70" s="740"/>
      <c r="BJ70" s="740"/>
      <c r="BK70" s="740"/>
      <c r="BL70" s="740"/>
      <c r="BM70" s="740"/>
      <c r="BN70" s="740"/>
      <c r="BO70" s="740"/>
      <c r="BP70" s="740"/>
      <c r="BQ70" s="740"/>
      <c r="BR70" s="740"/>
      <c r="BS70" s="740"/>
      <c r="BT70" s="740"/>
      <c r="BU70" s="740"/>
      <c r="BV70" s="740"/>
      <c r="BW70" s="740"/>
      <c r="BX70" s="740"/>
      <c r="BY70" s="740"/>
      <c r="BZ70" s="740"/>
      <c r="CA70" s="740"/>
      <c r="CB70" s="740"/>
      <c r="CC70" s="740"/>
      <c r="CD70" s="740"/>
      <c r="CE70" s="740"/>
      <c r="CF70" s="740"/>
      <c r="CG70" s="740"/>
      <c r="CH70" s="740"/>
      <c r="CI70" s="740"/>
      <c r="CJ70" s="740"/>
      <c r="CK70" s="740"/>
      <c r="CL70" s="740"/>
      <c r="CM70" s="740"/>
      <c r="CN70" s="740"/>
      <c r="CO70" s="740"/>
      <c r="CP70" s="740"/>
      <c r="CQ70" s="740"/>
      <c r="CR70" s="740"/>
      <c r="CS70" s="740"/>
      <c r="CT70" s="740"/>
      <c r="CU70" s="740"/>
      <c r="CV70" s="740"/>
      <c r="CW70" s="740"/>
      <c r="CX70" s="740"/>
      <c r="CY70" s="740"/>
      <c r="CZ70" s="740"/>
      <c r="DA70" s="740"/>
      <c r="DB70" s="740"/>
      <c r="DC70" s="740"/>
      <c r="DD70" s="740"/>
      <c r="DE70" s="740"/>
      <c r="DF70" s="740"/>
      <c r="DG70" s="740"/>
      <c r="DH70" s="740"/>
      <c r="DI70" s="740"/>
      <c r="DJ70" s="740"/>
      <c r="DK70" s="740"/>
      <c r="DL70" s="740"/>
      <c r="DM70" s="740"/>
      <c r="DN70" s="740"/>
      <c r="DO70" s="740"/>
      <c r="DP70" s="740"/>
      <c r="DQ70" s="740"/>
      <c r="DR70" s="740"/>
      <c r="DS70" s="740"/>
      <c r="DT70" s="740"/>
      <c r="DU70" s="740"/>
      <c r="DV70" s="740"/>
      <c r="DW70" s="740"/>
      <c r="DX70" s="740"/>
      <c r="DY70" s="740"/>
      <c r="DZ70" s="740"/>
      <c r="EA70" s="740"/>
      <c r="EB70" s="740"/>
      <c r="EC70" s="740"/>
      <c r="ED70" s="740"/>
      <c r="EE70" s="740"/>
      <c r="EF70" s="740"/>
      <c r="EG70" s="740"/>
      <c r="EH70" s="740"/>
      <c r="EI70" s="740"/>
      <c r="EJ70" s="740"/>
      <c r="EK70" s="740"/>
      <c r="EL70" s="740"/>
      <c r="EM70" s="740"/>
      <c r="EN70" s="740"/>
      <c r="EO70" s="740"/>
      <c r="EP70" s="740"/>
      <c r="EQ70" s="740"/>
      <c r="ER70" s="740"/>
      <c r="ES70" s="740"/>
      <c r="ET70" s="740"/>
      <c r="EU70" s="740"/>
      <c r="EV70" s="740"/>
      <c r="EW70" s="740"/>
      <c r="EX70" s="740"/>
      <c r="EY70" s="740"/>
      <c r="EZ70" s="740"/>
      <c r="FA70" s="740"/>
      <c r="FB70" s="740"/>
      <c r="FC70" s="740"/>
      <c r="FD70" s="740"/>
      <c r="FE70" s="740"/>
      <c r="FF70" s="740"/>
      <c r="FG70" s="740"/>
      <c r="FH70" s="740"/>
      <c r="FI70" s="740"/>
      <c r="FJ70" s="740"/>
      <c r="FK70" s="740"/>
      <c r="FL70" s="740"/>
      <c r="FM70" s="740"/>
      <c r="FN70" s="740"/>
      <c r="FO70" s="740"/>
      <c r="FP70" s="740"/>
      <c r="FQ70" s="740"/>
      <c r="FR70" s="740"/>
      <c r="FS70" s="740"/>
      <c r="FT70" s="740"/>
      <c r="FU70" s="740"/>
      <c r="FV70" s="740"/>
      <c r="FW70" s="740"/>
      <c r="FX70" s="740"/>
      <c r="FY70" s="740"/>
      <c r="FZ70" s="740"/>
      <c r="GA70" s="740"/>
      <c r="GB70" s="740"/>
      <c r="GC70" s="740"/>
      <c r="GD70" s="740"/>
      <c r="GE70" s="740"/>
      <c r="GF70" s="740"/>
      <c r="GG70" s="740"/>
      <c r="GH70" s="740"/>
      <c r="GI70" s="740"/>
      <c r="GJ70" s="740"/>
      <c r="GK70" s="740"/>
      <c r="GL70" s="740"/>
      <c r="GM70" s="740"/>
      <c r="GN70" s="740"/>
      <c r="GO70" s="740"/>
      <c r="GP70" s="740"/>
      <c r="GQ70" s="740"/>
      <c r="GR70" s="740"/>
      <c r="GS70" s="740"/>
      <c r="GT70" s="740"/>
      <c r="GU70" s="740"/>
      <c r="GV70" s="740"/>
      <c r="GW70" s="740"/>
    </row>
    <row r="71" spans="1:205" ht="24" customHeight="1" x14ac:dyDescent="0.2">
      <c r="A71" s="2503"/>
      <c r="C71"/>
      <c r="D71"/>
      <c r="E71"/>
      <c r="F71"/>
      <c r="G71"/>
      <c r="H71"/>
      <c r="I71"/>
      <c r="J71" s="199"/>
      <c r="K71"/>
      <c r="L71"/>
      <c r="M71"/>
      <c r="N71"/>
      <c r="O71"/>
      <c r="P71"/>
      <c r="Q71"/>
      <c r="R71"/>
      <c r="S71"/>
      <c r="T71" s="740"/>
      <c r="U71" s="740"/>
      <c r="V71" s="740"/>
      <c r="W71" s="740"/>
      <c r="X71" s="740"/>
      <c r="Y71" s="740"/>
      <c r="Z71" s="740"/>
      <c r="AA71" s="740"/>
      <c r="AB71" s="740"/>
      <c r="AC71" s="740"/>
      <c r="AD71" s="740"/>
      <c r="AE71" s="740"/>
      <c r="AF71" s="740"/>
      <c r="AG71" s="740"/>
      <c r="AH71" s="740"/>
      <c r="AI71" s="740"/>
      <c r="AJ71" s="740"/>
      <c r="AK71" s="740"/>
      <c r="AL71" s="740"/>
      <c r="AM71" s="740"/>
      <c r="AN71" s="740"/>
      <c r="AO71" s="740"/>
      <c r="AP71" s="740"/>
      <c r="AQ71" s="740"/>
      <c r="AR71" s="740"/>
      <c r="AS71" s="740"/>
      <c r="AT71" s="740"/>
      <c r="AU71" s="740"/>
      <c r="AV71" s="740"/>
      <c r="AW71" s="740"/>
      <c r="AX71" s="740"/>
      <c r="AY71" s="740"/>
      <c r="AZ71" s="740"/>
      <c r="BA71" s="740"/>
      <c r="BB71" s="740"/>
      <c r="BC71" s="740"/>
      <c r="BD71" s="740"/>
      <c r="BE71" s="740"/>
      <c r="BF71" s="740"/>
      <c r="BG71" s="740"/>
      <c r="BH71" s="740"/>
      <c r="BI71" s="740"/>
      <c r="BJ71" s="740"/>
      <c r="BK71" s="740"/>
      <c r="BL71" s="740"/>
      <c r="BM71" s="740"/>
      <c r="BN71" s="740"/>
      <c r="BO71" s="740"/>
      <c r="BP71" s="740"/>
      <c r="BQ71" s="740"/>
      <c r="BR71" s="740"/>
      <c r="BS71" s="740"/>
      <c r="BT71" s="740"/>
      <c r="BU71" s="740"/>
      <c r="BV71" s="740"/>
      <c r="BW71" s="740"/>
      <c r="BX71" s="740"/>
      <c r="BY71" s="740"/>
      <c r="BZ71" s="740"/>
      <c r="CA71" s="740"/>
      <c r="CB71" s="740"/>
      <c r="CC71" s="740"/>
      <c r="CD71" s="740"/>
      <c r="CE71" s="740"/>
      <c r="CF71" s="740"/>
      <c r="CG71" s="740"/>
      <c r="CH71" s="740"/>
      <c r="CI71" s="740"/>
      <c r="CJ71" s="740"/>
      <c r="CK71" s="740"/>
      <c r="CL71" s="740"/>
      <c r="CM71" s="740"/>
      <c r="CN71" s="740"/>
      <c r="CO71" s="740"/>
      <c r="CP71" s="740"/>
      <c r="CQ71" s="740"/>
      <c r="CR71" s="740"/>
      <c r="CS71" s="740"/>
      <c r="CT71" s="740"/>
      <c r="CU71" s="740"/>
      <c r="CV71" s="740"/>
      <c r="CW71" s="740"/>
      <c r="CX71" s="740"/>
      <c r="CY71" s="740"/>
      <c r="CZ71" s="740"/>
      <c r="DA71" s="740"/>
      <c r="DB71" s="740"/>
      <c r="DC71" s="740"/>
      <c r="DD71" s="740"/>
      <c r="DE71" s="740"/>
      <c r="DF71" s="740"/>
      <c r="DG71" s="740"/>
      <c r="DH71" s="740"/>
      <c r="DI71" s="740"/>
      <c r="DJ71" s="740"/>
      <c r="DK71" s="740"/>
      <c r="DL71" s="740"/>
      <c r="DM71" s="740"/>
      <c r="DN71" s="740"/>
      <c r="DO71" s="740"/>
      <c r="DP71" s="740"/>
      <c r="DQ71" s="740"/>
      <c r="DR71" s="740"/>
      <c r="DS71" s="740"/>
      <c r="DT71" s="740"/>
      <c r="DU71" s="740"/>
      <c r="DV71" s="740"/>
      <c r="DW71" s="740"/>
      <c r="DX71" s="740"/>
      <c r="DY71" s="740"/>
      <c r="DZ71" s="740"/>
      <c r="EA71" s="740"/>
      <c r="EB71" s="740"/>
      <c r="EC71" s="740"/>
      <c r="ED71" s="740"/>
      <c r="EE71" s="740"/>
      <c r="EF71" s="740"/>
      <c r="EG71" s="740"/>
      <c r="EH71" s="740"/>
      <c r="EI71" s="740"/>
      <c r="EJ71" s="740"/>
      <c r="EK71" s="740"/>
      <c r="EL71" s="740"/>
      <c r="EM71" s="740"/>
      <c r="EN71" s="740"/>
      <c r="EO71" s="740"/>
      <c r="EP71" s="740"/>
      <c r="EQ71" s="740"/>
      <c r="ER71" s="740"/>
      <c r="ES71" s="740"/>
      <c r="ET71" s="740"/>
      <c r="EU71" s="740"/>
      <c r="EV71" s="740"/>
      <c r="EW71" s="740"/>
      <c r="EX71" s="740"/>
      <c r="EY71" s="740"/>
      <c r="EZ71" s="740"/>
      <c r="FA71" s="740"/>
      <c r="FB71" s="740"/>
      <c r="FC71" s="740"/>
      <c r="FD71" s="740"/>
      <c r="FE71" s="740"/>
      <c r="FF71" s="740"/>
      <c r="FG71" s="740"/>
      <c r="FH71" s="740"/>
      <c r="FI71" s="740"/>
      <c r="FJ71" s="740"/>
      <c r="FK71" s="740"/>
      <c r="FL71" s="740"/>
      <c r="FM71" s="740"/>
      <c r="FN71" s="740"/>
      <c r="FO71" s="740"/>
      <c r="FP71" s="740"/>
      <c r="FQ71" s="740"/>
      <c r="FR71" s="740"/>
      <c r="FS71" s="740"/>
      <c r="FT71" s="740"/>
      <c r="FU71" s="740"/>
      <c r="FV71" s="740"/>
      <c r="FW71" s="740"/>
      <c r="FX71" s="740"/>
      <c r="FY71" s="740"/>
      <c r="FZ71" s="740"/>
      <c r="GA71" s="740"/>
      <c r="GB71" s="740"/>
      <c r="GC71" s="740"/>
      <c r="GD71" s="740"/>
      <c r="GE71" s="740"/>
      <c r="GF71" s="740"/>
      <c r="GG71" s="740"/>
      <c r="GH71" s="740"/>
      <c r="GI71" s="740"/>
      <c r="GJ71" s="740"/>
      <c r="GK71" s="740"/>
      <c r="GL71" s="740"/>
      <c r="GM71" s="740"/>
      <c r="GN71" s="740"/>
      <c r="GO71" s="740"/>
      <c r="GP71" s="740"/>
      <c r="GQ71" s="740"/>
      <c r="GR71" s="740"/>
      <c r="GS71" s="740"/>
      <c r="GT71" s="740"/>
      <c r="GU71" s="740"/>
      <c r="GV71" s="740"/>
      <c r="GW71" s="740"/>
    </row>
    <row r="72" spans="1:205" ht="24" customHeight="1" x14ac:dyDescent="0.25">
      <c r="A72" s="2503"/>
      <c r="C72"/>
      <c r="D72" s="436"/>
      <c r="E72" s="259"/>
      <c r="F72" s="259"/>
      <c r="G72" s="259"/>
      <c r="H72" s="259"/>
      <c r="I72" s="336"/>
      <c r="J72" s="4020" t="s">
        <v>565</v>
      </c>
      <c r="K72" s="4021"/>
      <c r="L72" s="4021"/>
      <c r="M72" s="4021"/>
      <c r="N72" s="4021"/>
      <c r="O72" s="4021"/>
      <c r="P72" s="4021"/>
      <c r="Q72" s="4021"/>
      <c r="R72" s="4022"/>
      <c r="S72"/>
      <c r="T72" s="740"/>
      <c r="U72" s="740"/>
      <c r="V72" s="740"/>
      <c r="W72" s="740"/>
      <c r="X72" s="740"/>
      <c r="Y72" s="740"/>
      <c r="Z72" s="740"/>
      <c r="AA72" s="740"/>
      <c r="AB72" s="740"/>
      <c r="AC72" s="740"/>
      <c r="AD72" s="740"/>
      <c r="AE72" s="740"/>
      <c r="AF72" s="740"/>
      <c r="AG72" s="740"/>
      <c r="AH72" s="740"/>
      <c r="AI72" s="740"/>
      <c r="AJ72" s="740"/>
      <c r="AK72" s="740"/>
      <c r="AL72" s="740"/>
      <c r="AM72" s="740"/>
      <c r="AN72" s="740"/>
      <c r="AO72" s="740"/>
      <c r="AP72" s="740"/>
      <c r="AQ72" s="740"/>
      <c r="AR72" s="740"/>
      <c r="AS72" s="740"/>
      <c r="AT72" s="740"/>
      <c r="AU72" s="740"/>
      <c r="AV72" s="740"/>
      <c r="AW72" s="740"/>
      <c r="AX72" s="740"/>
      <c r="AY72" s="740"/>
      <c r="AZ72" s="740"/>
      <c r="BA72" s="740"/>
      <c r="BB72" s="740"/>
      <c r="BC72" s="740"/>
      <c r="BD72" s="740"/>
      <c r="BE72" s="740"/>
      <c r="BF72" s="740"/>
      <c r="BG72" s="740"/>
      <c r="BH72" s="740"/>
      <c r="BI72" s="740"/>
      <c r="BJ72" s="740"/>
      <c r="BK72" s="740"/>
      <c r="BL72" s="740"/>
      <c r="BM72" s="740"/>
      <c r="BN72" s="740"/>
      <c r="BO72" s="740"/>
      <c r="BP72" s="740"/>
      <c r="BQ72" s="740"/>
      <c r="BR72" s="740"/>
      <c r="BS72" s="740"/>
      <c r="BT72" s="740"/>
      <c r="BU72" s="740"/>
      <c r="BV72" s="740"/>
      <c r="BW72" s="740"/>
      <c r="BX72" s="740"/>
      <c r="BY72" s="740"/>
      <c r="BZ72" s="740"/>
      <c r="CA72" s="740"/>
      <c r="CB72" s="740"/>
      <c r="CC72" s="740"/>
      <c r="CD72" s="740"/>
      <c r="CE72" s="740"/>
      <c r="CF72" s="740"/>
      <c r="CG72" s="740"/>
      <c r="CH72" s="740"/>
      <c r="CI72" s="740"/>
      <c r="CJ72" s="740"/>
      <c r="CK72" s="740"/>
      <c r="CL72" s="740"/>
      <c r="CM72" s="740"/>
      <c r="CN72" s="740"/>
      <c r="CO72" s="740"/>
      <c r="CP72" s="740"/>
      <c r="CQ72" s="740"/>
      <c r="CR72" s="740"/>
      <c r="CS72" s="740"/>
      <c r="CT72" s="740"/>
      <c r="CU72" s="740"/>
      <c r="CV72" s="740"/>
      <c r="CW72" s="740"/>
      <c r="CX72" s="740"/>
      <c r="CY72" s="740"/>
      <c r="CZ72" s="740"/>
      <c r="DA72" s="740"/>
      <c r="DB72" s="740"/>
      <c r="DC72" s="740"/>
      <c r="DD72" s="740"/>
      <c r="DE72" s="740"/>
      <c r="DF72" s="740"/>
      <c r="DG72" s="740"/>
      <c r="DH72" s="740"/>
      <c r="DI72" s="740"/>
      <c r="DJ72" s="740"/>
      <c r="DK72" s="740"/>
      <c r="DL72" s="740"/>
      <c r="DM72" s="740"/>
      <c r="DN72" s="740"/>
      <c r="DO72" s="740"/>
      <c r="DP72" s="740"/>
      <c r="DQ72" s="740"/>
      <c r="DR72" s="740"/>
      <c r="DS72" s="740"/>
      <c r="DT72" s="740"/>
      <c r="DU72" s="740"/>
      <c r="DV72" s="740"/>
      <c r="DW72" s="740"/>
      <c r="DX72" s="740"/>
      <c r="DY72" s="740"/>
      <c r="DZ72" s="740"/>
      <c r="EA72" s="740"/>
      <c r="EB72" s="740"/>
      <c r="EC72" s="740"/>
      <c r="ED72" s="740"/>
      <c r="EE72" s="740"/>
      <c r="EF72" s="740"/>
      <c r="EG72" s="740"/>
      <c r="EH72" s="740"/>
      <c r="EI72" s="740"/>
      <c r="EJ72" s="740"/>
      <c r="EK72" s="740"/>
      <c r="EL72" s="740"/>
      <c r="EM72" s="740"/>
      <c r="EN72" s="740"/>
      <c r="EO72" s="740"/>
      <c r="EP72" s="740"/>
      <c r="EQ72" s="740"/>
      <c r="ER72" s="740"/>
      <c r="ES72" s="740"/>
      <c r="ET72" s="740"/>
      <c r="EU72" s="740"/>
      <c r="EV72" s="740"/>
      <c r="EW72" s="740"/>
      <c r="EX72" s="740"/>
      <c r="EY72" s="740"/>
      <c r="EZ72" s="740"/>
      <c r="FA72" s="740"/>
      <c r="FB72" s="740"/>
      <c r="FC72" s="740"/>
      <c r="FD72" s="740"/>
      <c r="FE72" s="740"/>
      <c r="FF72" s="740"/>
      <c r="FG72" s="740"/>
      <c r="FH72" s="740"/>
      <c r="FI72" s="740"/>
      <c r="FJ72" s="740"/>
      <c r="FK72" s="740"/>
      <c r="FL72" s="740"/>
      <c r="FM72" s="740"/>
      <c r="FN72" s="740"/>
      <c r="FO72" s="740"/>
      <c r="FP72" s="740"/>
      <c r="FQ72" s="740"/>
      <c r="FR72" s="740"/>
      <c r="FS72" s="740"/>
      <c r="FT72" s="740"/>
      <c r="FU72" s="740"/>
      <c r="FV72" s="740"/>
      <c r="FW72" s="740"/>
      <c r="FX72" s="740"/>
      <c r="FY72" s="740"/>
      <c r="FZ72" s="740"/>
      <c r="GA72" s="740"/>
      <c r="GB72" s="740"/>
      <c r="GC72" s="740"/>
      <c r="GD72" s="740"/>
      <c r="GE72" s="740"/>
      <c r="GF72" s="740"/>
      <c r="GG72" s="740"/>
      <c r="GH72" s="740"/>
      <c r="GI72" s="740"/>
      <c r="GJ72" s="740"/>
      <c r="GK72" s="740"/>
      <c r="GL72" s="740"/>
      <c r="GM72" s="740"/>
      <c r="GN72" s="740"/>
      <c r="GO72" s="740"/>
      <c r="GP72" s="740"/>
      <c r="GQ72" s="740"/>
      <c r="GR72" s="740"/>
      <c r="GS72" s="740"/>
      <c r="GT72" s="740"/>
      <c r="GU72" s="740"/>
      <c r="GV72" s="740"/>
      <c r="GW72" s="740"/>
    </row>
    <row r="73" spans="1:205" ht="24" customHeight="1" x14ac:dyDescent="0.25">
      <c r="A73" s="2503"/>
      <c r="C73"/>
      <c r="D73" s="641"/>
      <c r="E73" s="28" t="s">
        <v>566</v>
      </c>
      <c r="F73" s="16"/>
      <c r="G73" s="16"/>
      <c r="H73" s="16"/>
      <c r="I73" s="1049" t="s">
        <v>573</v>
      </c>
      <c r="J73" s="952">
        <v>25</v>
      </c>
      <c r="K73" s="949">
        <v>26</v>
      </c>
      <c r="L73" s="951">
        <v>27</v>
      </c>
      <c r="M73" s="951">
        <v>28</v>
      </c>
      <c r="N73" s="949">
        <v>29</v>
      </c>
      <c r="O73" s="951">
        <v>30</v>
      </c>
      <c r="P73" s="951">
        <v>31</v>
      </c>
      <c r="Q73" s="949">
        <v>32</v>
      </c>
      <c r="R73" s="950">
        <v>33</v>
      </c>
      <c r="S73"/>
      <c r="T73" s="740"/>
      <c r="U73" s="740"/>
      <c r="V73" s="740"/>
      <c r="W73" s="740"/>
      <c r="X73" s="740"/>
      <c r="Y73" s="740"/>
      <c r="Z73" s="740"/>
      <c r="AA73" s="740"/>
      <c r="AB73" s="740"/>
      <c r="AC73" s="740"/>
      <c r="AD73" s="740"/>
      <c r="AE73" s="740"/>
      <c r="AF73" s="740"/>
      <c r="AG73" s="740"/>
      <c r="AH73" s="740"/>
      <c r="AI73" s="740"/>
      <c r="AJ73" s="740"/>
      <c r="AK73" s="740"/>
      <c r="AL73" s="740"/>
      <c r="AM73" s="740"/>
      <c r="AN73" s="740"/>
      <c r="AO73" s="740"/>
      <c r="AP73" s="740"/>
      <c r="AQ73" s="740"/>
      <c r="AR73" s="740"/>
      <c r="AS73" s="740"/>
      <c r="AT73" s="740"/>
      <c r="AU73" s="740"/>
      <c r="AV73" s="740"/>
      <c r="AW73" s="740"/>
      <c r="AX73" s="740"/>
      <c r="AY73" s="740"/>
      <c r="AZ73" s="740"/>
      <c r="BA73" s="740"/>
      <c r="BB73" s="740"/>
      <c r="BC73" s="740"/>
      <c r="BD73" s="740"/>
      <c r="BE73" s="740"/>
      <c r="BF73" s="740"/>
      <c r="BG73" s="740"/>
      <c r="BH73" s="740"/>
      <c r="BI73" s="740"/>
      <c r="BJ73" s="740"/>
      <c r="BK73" s="740"/>
      <c r="BL73" s="740"/>
      <c r="BM73" s="740"/>
      <c r="BN73" s="740"/>
      <c r="BO73" s="740"/>
      <c r="BP73" s="740"/>
      <c r="BQ73" s="740"/>
      <c r="BR73" s="740"/>
      <c r="BS73" s="740"/>
      <c r="BT73" s="740"/>
      <c r="BU73" s="740"/>
      <c r="BV73" s="740"/>
      <c r="BW73" s="740"/>
      <c r="BX73" s="740"/>
      <c r="BY73" s="740"/>
      <c r="BZ73" s="740"/>
      <c r="CA73" s="740"/>
      <c r="CB73" s="740"/>
      <c r="CC73" s="740"/>
      <c r="CD73" s="740"/>
      <c r="CE73" s="740"/>
      <c r="CF73" s="740"/>
      <c r="CG73" s="740"/>
      <c r="CH73" s="740"/>
      <c r="CI73" s="740"/>
      <c r="CJ73" s="740"/>
      <c r="CK73" s="740"/>
      <c r="CL73" s="740"/>
      <c r="CM73" s="740"/>
      <c r="CN73" s="740"/>
      <c r="CO73" s="740"/>
      <c r="CP73" s="740"/>
      <c r="CQ73" s="740"/>
      <c r="CR73" s="740"/>
      <c r="CS73" s="740"/>
      <c r="CT73" s="740"/>
      <c r="CU73" s="740"/>
      <c r="CV73" s="740"/>
      <c r="CW73" s="740"/>
      <c r="CX73" s="740"/>
      <c r="CY73" s="740"/>
      <c r="CZ73" s="740"/>
      <c r="DA73" s="740"/>
      <c r="DB73" s="740"/>
      <c r="DC73" s="740"/>
      <c r="DD73" s="740"/>
      <c r="DE73" s="740"/>
      <c r="DF73" s="740"/>
      <c r="DG73" s="740"/>
      <c r="DH73" s="740"/>
      <c r="DI73" s="740"/>
      <c r="DJ73" s="740"/>
      <c r="DK73" s="740"/>
      <c r="DL73" s="740"/>
      <c r="DM73" s="740"/>
      <c r="DN73" s="740"/>
      <c r="DO73" s="740"/>
      <c r="DP73" s="740"/>
      <c r="DQ73" s="740"/>
      <c r="DR73" s="740"/>
      <c r="DS73" s="740"/>
      <c r="DT73" s="740"/>
      <c r="DU73" s="740"/>
      <c r="DV73" s="740"/>
      <c r="DW73" s="740"/>
      <c r="DX73" s="740"/>
      <c r="DY73" s="740"/>
      <c r="DZ73" s="740"/>
      <c r="EA73" s="740"/>
      <c r="EB73" s="740"/>
      <c r="EC73" s="740"/>
      <c r="ED73" s="740"/>
      <c r="EE73" s="740"/>
      <c r="EF73" s="740"/>
      <c r="EG73" s="740"/>
      <c r="EH73" s="740"/>
      <c r="EI73" s="740"/>
      <c r="EJ73" s="740"/>
      <c r="EK73" s="740"/>
      <c r="EL73" s="740"/>
      <c r="EM73" s="740"/>
      <c r="EN73" s="740"/>
      <c r="EO73" s="740"/>
      <c r="EP73" s="740"/>
      <c r="EQ73" s="740"/>
      <c r="ER73" s="740"/>
      <c r="ES73" s="740"/>
      <c r="ET73" s="740"/>
      <c r="EU73" s="740"/>
      <c r="EV73" s="740"/>
      <c r="EW73" s="740"/>
      <c r="EX73" s="740"/>
      <c r="EY73" s="740"/>
      <c r="EZ73" s="740"/>
      <c r="FA73" s="740"/>
      <c r="FB73" s="740"/>
      <c r="FC73" s="740"/>
      <c r="FD73" s="740"/>
      <c r="FE73" s="740"/>
      <c r="FF73" s="740"/>
      <c r="FG73" s="740"/>
      <c r="FH73" s="740"/>
      <c r="FI73" s="740"/>
      <c r="FJ73" s="740"/>
      <c r="FK73" s="740"/>
      <c r="FL73" s="740"/>
      <c r="FM73" s="740"/>
      <c r="FN73" s="740"/>
      <c r="FO73" s="740"/>
      <c r="FP73" s="740"/>
      <c r="FQ73" s="740"/>
      <c r="FR73" s="740"/>
      <c r="FS73" s="740"/>
      <c r="FT73" s="740"/>
      <c r="FU73" s="740"/>
      <c r="FV73" s="740"/>
      <c r="FW73" s="740"/>
      <c r="FX73" s="740"/>
      <c r="FY73" s="740"/>
      <c r="FZ73" s="740"/>
      <c r="GA73" s="740"/>
      <c r="GB73" s="740"/>
      <c r="GC73" s="740"/>
      <c r="GD73" s="740"/>
      <c r="GE73" s="740"/>
      <c r="GF73" s="740"/>
      <c r="GG73" s="740"/>
      <c r="GH73" s="740"/>
      <c r="GI73" s="740"/>
      <c r="GJ73" s="740"/>
      <c r="GK73" s="740"/>
      <c r="GL73" s="740"/>
      <c r="GM73" s="740"/>
      <c r="GN73" s="740"/>
      <c r="GO73" s="740"/>
      <c r="GP73" s="740"/>
      <c r="GQ73" s="740"/>
      <c r="GR73" s="740"/>
      <c r="GS73" s="740"/>
      <c r="GT73" s="740"/>
      <c r="GU73" s="740"/>
      <c r="GV73" s="740"/>
      <c r="GW73" s="740"/>
    </row>
    <row r="74" spans="1:205" ht="24" customHeight="1" x14ac:dyDescent="0.25">
      <c r="A74" s="2503"/>
      <c r="C74"/>
      <c r="D74" s="37"/>
      <c r="E74" s="1996" t="s">
        <v>1180</v>
      </c>
      <c r="F74" s="28"/>
      <c r="G74" s="28"/>
      <c r="H74" s="28"/>
      <c r="I74" s="28" t="s">
        <v>570</v>
      </c>
      <c r="J74" s="1020">
        <f>K74-O70</f>
        <v>40496.666666666672</v>
      </c>
      <c r="K74" s="1021">
        <f>N74-O69</f>
        <v>42453.333333333336</v>
      </c>
      <c r="L74" s="1022">
        <f>M74-O70</f>
        <v>44410.000000000007</v>
      </c>
      <c r="M74" s="1023">
        <f>N74-O70</f>
        <v>46366.666666666672</v>
      </c>
      <c r="N74" s="1024">
        <f>O68-O70</f>
        <v>48323.333333333336</v>
      </c>
      <c r="O74" s="1023">
        <f>O68</f>
        <v>50280</v>
      </c>
      <c r="P74" s="1022">
        <f>O74+R70</f>
        <v>52143.333333333336</v>
      </c>
      <c r="Q74" s="1021">
        <f>R68-R70</f>
        <v>54006.666666666664</v>
      </c>
      <c r="R74" s="1025">
        <f>R68</f>
        <v>55870</v>
      </c>
      <c r="S74" s="726"/>
      <c r="T74" s="740"/>
      <c r="U74" s="740"/>
      <c r="V74" s="740"/>
      <c r="W74" s="740"/>
      <c r="X74" s="740"/>
      <c r="Y74" s="740"/>
      <c r="Z74" s="740"/>
      <c r="AA74" s="740"/>
      <c r="AB74" s="740"/>
      <c r="AC74" s="740"/>
      <c r="AD74" s="740"/>
      <c r="AE74" s="740"/>
      <c r="AF74" s="740"/>
      <c r="AG74" s="740"/>
      <c r="AH74" s="740"/>
      <c r="AI74" s="740"/>
      <c r="AJ74" s="740"/>
      <c r="AK74" s="740"/>
      <c r="AL74" s="740"/>
      <c r="AM74" s="740"/>
      <c r="AN74" s="740"/>
      <c r="AO74" s="740"/>
      <c r="AP74" s="740"/>
      <c r="AQ74" s="740"/>
      <c r="AR74" s="740"/>
      <c r="AS74" s="740"/>
      <c r="AT74" s="740"/>
      <c r="AU74" s="740"/>
      <c r="AV74" s="740"/>
      <c r="AW74" s="740"/>
      <c r="AX74" s="740"/>
      <c r="AY74" s="740"/>
      <c r="AZ74" s="740"/>
      <c r="BA74" s="740"/>
      <c r="BB74" s="740"/>
      <c r="BC74" s="740"/>
      <c r="BD74" s="740"/>
      <c r="BE74" s="740"/>
      <c r="BF74" s="740"/>
      <c r="BG74" s="740"/>
      <c r="BH74" s="740"/>
      <c r="BI74" s="740"/>
      <c r="BJ74" s="740"/>
      <c r="BK74" s="740"/>
      <c r="BL74" s="740"/>
      <c r="BM74" s="740"/>
      <c r="BN74" s="740"/>
      <c r="BO74" s="740"/>
      <c r="BP74" s="740"/>
      <c r="BQ74" s="740"/>
      <c r="BR74" s="740"/>
      <c r="BS74" s="740"/>
      <c r="BT74" s="740"/>
      <c r="BU74" s="740"/>
      <c r="BV74" s="740"/>
      <c r="BW74" s="740"/>
      <c r="BX74" s="740"/>
      <c r="BY74" s="740"/>
      <c r="BZ74" s="740"/>
      <c r="CA74" s="740"/>
      <c r="CB74" s="740"/>
      <c r="CC74" s="740"/>
      <c r="CD74" s="740"/>
      <c r="CE74" s="740"/>
      <c r="CF74" s="740"/>
      <c r="CG74" s="740"/>
      <c r="CH74" s="740"/>
      <c r="CI74" s="740"/>
      <c r="CJ74" s="740"/>
      <c r="CK74" s="740"/>
      <c r="CL74" s="740"/>
      <c r="CM74" s="740"/>
      <c r="CN74" s="740"/>
      <c r="CO74" s="740"/>
      <c r="CP74" s="740"/>
      <c r="CQ74" s="740"/>
      <c r="CR74" s="740"/>
      <c r="CS74" s="740"/>
      <c r="CT74" s="740"/>
      <c r="CU74" s="740"/>
      <c r="CV74" s="740"/>
      <c r="CW74" s="740"/>
      <c r="CX74" s="740"/>
      <c r="CY74" s="740"/>
      <c r="CZ74" s="740"/>
      <c r="DA74" s="740"/>
      <c r="DB74" s="740"/>
      <c r="DC74" s="740"/>
      <c r="DD74" s="740"/>
      <c r="DE74" s="740"/>
      <c r="DF74" s="740"/>
      <c r="DG74" s="740"/>
      <c r="DH74" s="740"/>
      <c r="DI74" s="740"/>
      <c r="DJ74" s="740"/>
      <c r="DK74" s="740"/>
      <c r="DL74" s="740"/>
      <c r="DM74" s="740"/>
      <c r="DN74" s="740"/>
      <c r="DO74" s="740"/>
      <c r="DP74" s="740"/>
      <c r="DQ74" s="740"/>
      <c r="DR74" s="740"/>
      <c r="DS74" s="740"/>
      <c r="DT74" s="740"/>
      <c r="DU74" s="740"/>
      <c r="DV74" s="740"/>
      <c r="DW74" s="740"/>
      <c r="DX74" s="740"/>
      <c r="DY74" s="740"/>
      <c r="DZ74" s="740"/>
      <c r="EA74" s="740"/>
      <c r="EB74" s="740"/>
      <c r="EC74" s="740"/>
      <c r="ED74" s="740"/>
      <c r="EE74" s="740"/>
      <c r="EF74" s="740"/>
      <c r="EG74" s="740"/>
      <c r="EH74" s="740"/>
      <c r="EI74" s="740"/>
      <c r="EJ74" s="740"/>
      <c r="EK74" s="740"/>
      <c r="EL74" s="740"/>
      <c r="EM74" s="740"/>
      <c r="EN74" s="740"/>
      <c r="EO74" s="740"/>
      <c r="EP74" s="740"/>
      <c r="EQ74" s="740"/>
      <c r="ER74" s="740"/>
      <c r="ES74" s="740"/>
      <c r="ET74" s="740"/>
      <c r="EU74" s="740"/>
      <c r="EV74" s="740"/>
      <c r="EW74" s="740"/>
      <c r="EX74" s="740"/>
      <c r="EY74" s="740"/>
      <c r="EZ74" s="740"/>
      <c r="FA74" s="740"/>
      <c r="FB74" s="740"/>
      <c r="FC74" s="740"/>
      <c r="FD74" s="740"/>
      <c r="FE74" s="740"/>
      <c r="FF74" s="740"/>
      <c r="FG74" s="740"/>
      <c r="FH74" s="740"/>
      <c r="FI74" s="740"/>
      <c r="FJ74" s="740"/>
      <c r="FK74" s="740"/>
      <c r="FL74" s="740"/>
      <c r="FM74" s="740"/>
      <c r="FN74" s="740"/>
      <c r="FO74" s="740"/>
      <c r="FP74" s="740"/>
      <c r="FQ74" s="740"/>
      <c r="FR74" s="740"/>
      <c r="FS74" s="740"/>
      <c r="FT74" s="740"/>
      <c r="FU74" s="740"/>
      <c r="FV74" s="740"/>
      <c r="FW74" s="740"/>
      <c r="FX74" s="740"/>
      <c r="FY74" s="740"/>
      <c r="FZ74" s="740"/>
      <c r="GA74" s="740"/>
      <c r="GB74" s="740"/>
      <c r="GC74" s="740"/>
      <c r="GD74" s="740"/>
      <c r="GE74" s="740"/>
      <c r="GF74" s="740"/>
      <c r="GG74" s="740"/>
      <c r="GH74" s="740"/>
      <c r="GI74" s="740"/>
      <c r="GJ74" s="740"/>
      <c r="GK74" s="740"/>
      <c r="GL74" s="740"/>
      <c r="GM74" s="740"/>
      <c r="GN74" s="740"/>
      <c r="GO74" s="740"/>
      <c r="GP74" s="740"/>
      <c r="GQ74" s="740"/>
      <c r="GR74" s="740"/>
      <c r="GS74" s="740"/>
      <c r="GT74" s="740"/>
      <c r="GU74" s="740"/>
      <c r="GV74" s="740"/>
      <c r="GW74" s="740"/>
    </row>
    <row r="75" spans="1:205" ht="24" customHeight="1" x14ac:dyDescent="0.2">
      <c r="A75" s="2503"/>
      <c r="C75"/>
      <c r="D75" s="37"/>
      <c r="E75" s="1990" t="s">
        <v>528</v>
      </c>
      <c r="F75" s="1990"/>
      <c r="G75" s="1990" t="s">
        <v>166</v>
      </c>
      <c r="H75" s="1990"/>
      <c r="I75" s="1990"/>
      <c r="J75" s="1992">
        <v>2930</v>
      </c>
      <c r="K75" s="1993">
        <v>2930</v>
      </c>
      <c r="L75" s="1994">
        <v>2930</v>
      </c>
      <c r="M75" s="1994">
        <v>2930</v>
      </c>
      <c r="N75" s="1993">
        <v>2930</v>
      </c>
      <c r="O75" s="1994">
        <v>2930</v>
      </c>
      <c r="P75" s="1994">
        <v>2930</v>
      </c>
      <c r="Q75" s="1993">
        <v>2930</v>
      </c>
      <c r="R75" s="1995">
        <v>2930</v>
      </c>
      <c r="S75"/>
      <c r="U75" s="740" t="s">
        <v>1178</v>
      </c>
      <c r="V75" s="740"/>
      <c r="W75" s="740"/>
      <c r="X75" s="988" t="s">
        <v>1286</v>
      </c>
      <c r="Y75" s="740"/>
      <c r="Z75" s="740"/>
      <c r="AA75" s="740"/>
      <c r="AB75" s="740"/>
      <c r="AC75" s="740"/>
      <c r="AD75" s="740"/>
      <c r="AE75" s="740"/>
      <c r="AF75" s="740"/>
      <c r="AG75" s="740"/>
      <c r="AH75" s="740"/>
      <c r="AI75" s="740"/>
      <c r="AJ75" s="740"/>
      <c r="AK75" s="740"/>
      <c r="AL75" s="740"/>
      <c r="AM75" s="740"/>
      <c r="AN75" s="740"/>
      <c r="AO75" s="740"/>
      <c r="AP75" s="740"/>
      <c r="AQ75" s="740"/>
      <c r="AR75" s="740"/>
      <c r="AS75" s="740"/>
      <c r="AT75" s="740"/>
      <c r="AU75" s="740"/>
      <c r="AV75" s="740"/>
      <c r="AW75" s="740"/>
      <c r="AX75" s="740"/>
      <c r="AY75" s="740"/>
      <c r="AZ75" s="740"/>
      <c r="BA75" s="740"/>
      <c r="BB75" s="740"/>
      <c r="BC75" s="740"/>
      <c r="BD75" s="740"/>
      <c r="BE75" s="740"/>
      <c r="BF75" s="740"/>
      <c r="BG75" s="740"/>
      <c r="BH75" s="740"/>
      <c r="BI75" s="740"/>
      <c r="BJ75" s="740"/>
      <c r="BK75" s="740"/>
      <c r="BL75" s="740"/>
      <c r="BM75" s="740"/>
      <c r="BN75" s="740"/>
      <c r="BO75" s="740"/>
      <c r="BP75" s="740"/>
      <c r="BQ75" s="740"/>
      <c r="BR75" s="740"/>
      <c r="BS75" s="740"/>
      <c r="BT75" s="740"/>
      <c r="BU75" s="740"/>
      <c r="BV75" s="740"/>
      <c r="BW75" s="740"/>
      <c r="BX75" s="740"/>
      <c r="BY75" s="740"/>
      <c r="BZ75" s="740"/>
      <c r="CA75" s="740"/>
      <c r="CB75" s="740"/>
      <c r="CC75" s="740"/>
      <c r="CD75" s="740"/>
      <c r="CE75" s="740"/>
      <c r="CF75" s="740"/>
      <c r="CG75" s="740"/>
      <c r="CH75" s="740"/>
      <c r="CI75" s="740"/>
      <c r="CJ75" s="740"/>
      <c r="CK75" s="740"/>
      <c r="CL75" s="740"/>
      <c r="CM75" s="740"/>
      <c r="CN75" s="740"/>
      <c r="CO75" s="740"/>
      <c r="CP75" s="740"/>
      <c r="CQ75" s="740"/>
      <c r="CR75" s="740"/>
      <c r="CS75" s="740"/>
      <c r="CT75" s="740"/>
      <c r="CU75" s="740"/>
      <c r="CV75" s="740"/>
      <c r="CW75" s="740"/>
      <c r="CX75" s="740"/>
      <c r="CY75" s="740"/>
      <c r="CZ75" s="740"/>
      <c r="DA75" s="740"/>
      <c r="DB75" s="740"/>
      <c r="DC75" s="740"/>
      <c r="DD75" s="740"/>
      <c r="DE75" s="740"/>
      <c r="DF75" s="740"/>
      <c r="DG75" s="740"/>
      <c r="DH75" s="740"/>
      <c r="DI75" s="740"/>
      <c r="DJ75" s="740"/>
      <c r="DK75" s="740"/>
      <c r="DL75" s="740"/>
      <c r="DM75" s="740"/>
      <c r="DN75" s="740"/>
      <c r="DO75" s="740"/>
      <c r="DP75" s="740"/>
      <c r="DQ75" s="740"/>
      <c r="DR75" s="740"/>
      <c r="DS75" s="740"/>
      <c r="DT75" s="740"/>
      <c r="DU75" s="740"/>
      <c r="DV75" s="740"/>
      <c r="DW75" s="740"/>
      <c r="DX75" s="740"/>
      <c r="DY75" s="740"/>
      <c r="DZ75" s="740"/>
      <c r="EA75" s="740"/>
      <c r="EB75" s="740"/>
      <c r="EC75" s="740"/>
      <c r="ED75" s="740"/>
      <c r="EE75" s="740"/>
      <c r="EF75" s="740"/>
      <c r="EG75" s="740"/>
      <c r="EH75" s="740"/>
      <c r="EI75" s="740"/>
      <c r="EJ75" s="740"/>
      <c r="EK75" s="740"/>
      <c r="EL75" s="740"/>
      <c r="EM75" s="740"/>
      <c r="EN75" s="740"/>
      <c r="EO75" s="740"/>
      <c r="EP75" s="740"/>
      <c r="EQ75" s="740"/>
      <c r="ER75" s="740"/>
      <c r="ES75" s="740"/>
      <c r="ET75" s="740"/>
      <c r="EU75" s="740"/>
      <c r="EV75" s="740"/>
      <c r="EW75" s="740"/>
      <c r="EX75" s="740"/>
      <c r="EY75" s="740"/>
      <c r="EZ75" s="740"/>
      <c r="FA75" s="740"/>
      <c r="FB75" s="740"/>
      <c r="FC75" s="740"/>
      <c r="FD75" s="740"/>
      <c r="FE75" s="740"/>
      <c r="FF75" s="740"/>
      <c r="FG75" s="740"/>
      <c r="FH75" s="740"/>
      <c r="FI75" s="740"/>
      <c r="FJ75" s="740"/>
      <c r="FK75" s="740"/>
      <c r="FL75" s="740"/>
      <c r="FM75" s="740"/>
      <c r="FN75" s="740"/>
      <c r="FO75" s="740"/>
      <c r="FP75" s="740"/>
      <c r="FQ75" s="740"/>
      <c r="FR75" s="740"/>
      <c r="FS75" s="740"/>
      <c r="FT75" s="740"/>
      <c r="FU75" s="740"/>
      <c r="FV75" s="740"/>
      <c r="FW75" s="740"/>
      <c r="FX75" s="740"/>
      <c r="FY75" s="740"/>
      <c r="FZ75" s="740"/>
      <c r="GA75" s="740"/>
      <c r="GB75" s="740"/>
      <c r="GC75" s="740"/>
      <c r="GD75" s="740"/>
      <c r="GE75" s="740"/>
      <c r="GF75" s="740"/>
      <c r="GG75" s="740"/>
      <c r="GH75" s="740"/>
      <c r="GI75" s="740"/>
      <c r="GJ75" s="740"/>
      <c r="GK75" s="740"/>
      <c r="GL75" s="740"/>
      <c r="GM75" s="740"/>
      <c r="GN75" s="740"/>
      <c r="GO75" s="740"/>
      <c r="GP75" s="740"/>
      <c r="GQ75" s="740"/>
      <c r="GR75" s="740"/>
      <c r="GS75" s="740"/>
      <c r="GT75" s="740"/>
      <c r="GU75" s="740"/>
      <c r="GV75" s="740"/>
      <c r="GW75" s="740"/>
    </row>
    <row r="76" spans="1:205" ht="24" customHeight="1" x14ac:dyDescent="0.2">
      <c r="A76" s="2503"/>
      <c r="C76"/>
      <c r="D76" s="37"/>
      <c r="E76" s="28" t="s">
        <v>567</v>
      </c>
      <c r="F76" s="28"/>
      <c r="G76" s="28"/>
      <c r="H76" s="28"/>
      <c r="I76" s="28" t="s">
        <v>1108</v>
      </c>
      <c r="J76" s="948">
        <f>K76+S76</f>
        <v>8.2142857142857135</v>
      </c>
      <c r="K76" s="947">
        <v>7.5</v>
      </c>
      <c r="L76" s="942">
        <f t="shared" ref="L76:Q76" si="8">M76+$S$76</f>
        <v>6.7857142857142865</v>
      </c>
      <c r="M76" s="942">
        <f t="shared" si="8"/>
        <v>6.0714285714285721</v>
      </c>
      <c r="N76" s="944">
        <f t="shared" si="8"/>
        <v>5.3571428571428577</v>
      </c>
      <c r="O76" s="942">
        <f t="shared" si="8"/>
        <v>4.6428571428571432</v>
      </c>
      <c r="P76" s="942">
        <f t="shared" si="8"/>
        <v>3.9285714285714288</v>
      </c>
      <c r="Q76" s="944">
        <f t="shared" si="8"/>
        <v>3.2142857142857144</v>
      </c>
      <c r="R76" s="943">
        <v>2.5</v>
      </c>
      <c r="S76" s="946">
        <f>(K76-R76)/7</f>
        <v>0.7142857142857143</v>
      </c>
      <c r="T76" s="946" t="s">
        <v>475</v>
      </c>
      <c r="U76" s="740" t="s">
        <v>1179</v>
      </c>
      <c r="V76" s="740"/>
      <c r="W76" s="740"/>
      <c r="X76" s="740"/>
      <c r="Y76" s="740"/>
      <c r="Z76" s="740"/>
      <c r="AA76" s="740"/>
      <c r="AB76" s="740"/>
      <c r="AC76" s="740"/>
      <c r="AD76" s="740"/>
      <c r="AE76" s="740"/>
      <c r="AF76" s="740"/>
      <c r="AG76" s="740"/>
      <c r="AH76" s="740"/>
      <c r="AI76" s="740"/>
      <c r="AJ76" s="740"/>
      <c r="AK76" s="740"/>
      <c r="AL76" s="740"/>
      <c r="AM76" s="740"/>
      <c r="AN76" s="740"/>
      <c r="AO76" s="740"/>
      <c r="AP76" s="740"/>
      <c r="AQ76" s="740"/>
      <c r="AR76" s="740"/>
      <c r="AS76" s="740"/>
      <c r="AT76" s="740"/>
      <c r="AU76" s="740"/>
      <c r="AV76" s="740"/>
      <c r="AW76" s="740"/>
      <c r="AX76" s="740"/>
      <c r="AY76" s="740"/>
      <c r="AZ76" s="740"/>
      <c r="BA76" s="740"/>
      <c r="BB76" s="740"/>
      <c r="BC76" s="740"/>
      <c r="BD76" s="740"/>
      <c r="BE76" s="740"/>
      <c r="BF76" s="740"/>
      <c r="BG76" s="740"/>
      <c r="BH76" s="740"/>
      <c r="BI76" s="740"/>
      <c r="BJ76" s="740"/>
      <c r="BK76" s="740"/>
      <c r="BL76" s="740"/>
      <c r="BM76" s="740"/>
      <c r="BN76" s="740"/>
      <c r="BO76" s="740"/>
      <c r="BP76" s="740"/>
      <c r="BQ76" s="740"/>
      <c r="BR76" s="740"/>
      <c r="BS76" s="740"/>
      <c r="BT76" s="740"/>
      <c r="BU76" s="740"/>
      <c r="BV76" s="740"/>
      <c r="BW76" s="740"/>
      <c r="BX76" s="740"/>
      <c r="BY76" s="740"/>
      <c r="BZ76" s="740"/>
      <c r="CA76" s="740"/>
      <c r="CB76" s="740"/>
      <c r="CC76" s="740"/>
      <c r="CD76" s="740"/>
      <c r="CE76" s="740"/>
      <c r="CF76" s="740"/>
      <c r="CG76" s="740"/>
      <c r="CH76" s="740"/>
      <c r="CI76" s="740"/>
      <c r="CJ76" s="740"/>
      <c r="CK76" s="740"/>
      <c r="CL76" s="740"/>
      <c r="CM76" s="740"/>
      <c r="CN76" s="740"/>
      <c r="CO76" s="740"/>
      <c r="CP76" s="740"/>
      <c r="CQ76" s="740"/>
      <c r="CR76" s="740"/>
      <c r="CS76" s="740"/>
      <c r="CT76" s="740"/>
      <c r="CU76" s="740"/>
      <c r="CV76" s="740"/>
      <c r="CW76" s="740"/>
      <c r="CX76" s="740"/>
      <c r="CY76" s="740"/>
      <c r="CZ76" s="740"/>
      <c r="DA76" s="740"/>
      <c r="DB76" s="740"/>
      <c r="DC76" s="740"/>
      <c r="DD76" s="740"/>
      <c r="DE76" s="740"/>
      <c r="DF76" s="740"/>
      <c r="DG76" s="740"/>
      <c r="DH76" s="740"/>
      <c r="DI76" s="740"/>
      <c r="DJ76" s="740"/>
      <c r="DK76" s="740"/>
      <c r="DL76" s="740"/>
      <c r="DM76" s="740"/>
      <c r="DN76" s="740"/>
      <c r="DO76" s="740"/>
      <c r="DP76" s="740"/>
      <c r="DQ76" s="740"/>
      <c r="DR76" s="740"/>
      <c r="DS76" s="740"/>
      <c r="DT76" s="740"/>
      <c r="DU76" s="740"/>
      <c r="DV76" s="740"/>
      <c r="DW76" s="740"/>
      <c r="DX76" s="740"/>
      <c r="DY76" s="740"/>
      <c r="DZ76" s="740"/>
      <c r="EA76" s="740"/>
      <c r="EB76" s="740"/>
      <c r="EC76" s="740"/>
      <c r="ED76" s="740"/>
      <c r="EE76" s="740"/>
      <c r="EF76" s="740"/>
      <c r="EG76" s="740"/>
      <c r="EH76" s="740"/>
      <c r="EI76" s="740"/>
      <c r="EJ76" s="740"/>
      <c r="EK76" s="740"/>
      <c r="EL76" s="740"/>
      <c r="EM76" s="740"/>
      <c r="EN76" s="740"/>
      <c r="EO76" s="740"/>
      <c r="EP76" s="740"/>
      <c r="EQ76" s="740"/>
      <c r="ER76" s="740"/>
      <c r="ES76" s="740"/>
      <c r="ET76" s="740"/>
      <c r="EU76" s="740"/>
      <c r="EV76" s="740"/>
      <c r="EW76" s="740"/>
      <c r="EX76" s="740"/>
      <c r="EY76" s="740"/>
      <c r="EZ76" s="740"/>
      <c r="FA76" s="740"/>
      <c r="FB76" s="740"/>
      <c r="FC76" s="740"/>
      <c r="FD76" s="740"/>
      <c r="FE76" s="740"/>
      <c r="FF76" s="740"/>
      <c r="FG76" s="740"/>
      <c r="FH76" s="740"/>
      <c r="FI76" s="740"/>
      <c r="FJ76" s="740"/>
      <c r="FK76" s="740"/>
      <c r="FL76" s="740"/>
      <c r="FM76" s="740"/>
      <c r="FN76" s="740"/>
      <c r="FO76" s="740"/>
      <c r="FP76" s="740"/>
      <c r="FQ76" s="740"/>
      <c r="FR76" s="740"/>
      <c r="FS76" s="740"/>
      <c r="FT76" s="740"/>
      <c r="FU76" s="740"/>
      <c r="FV76" s="740"/>
      <c r="FW76" s="740"/>
      <c r="FX76" s="740"/>
      <c r="FY76" s="740"/>
      <c r="FZ76" s="740"/>
      <c r="GA76" s="740"/>
      <c r="GB76" s="740"/>
      <c r="GC76" s="740"/>
      <c r="GD76" s="740"/>
      <c r="GE76" s="740"/>
      <c r="GF76" s="740"/>
      <c r="GG76" s="740"/>
      <c r="GH76" s="740"/>
      <c r="GI76" s="740"/>
      <c r="GJ76" s="740"/>
      <c r="GK76" s="740"/>
      <c r="GL76" s="740"/>
      <c r="GM76" s="740"/>
      <c r="GN76" s="740"/>
      <c r="GO76" s="740"/>
      <c r="GP76" s="740"/>
      <c r="GQ76" s="740"/>
      <c r="GR76" s="740"/>
      <c r="GS76" s="740"/>
      <c r="GT76" s="740"/>
      <c r="GU76" s="740"/>
      <c r="GV76" s="740"/>
      <c r="GW76" s="740"/>
    </row>
    <row r="77" spans="1:205" ht="18" customHeight="1" x14ac:dyDescent="0.2">
      <c r="A77" s="2503"/>
      <c r="C77"/>
      <c r="D77" s="37"/>
      <c r="E77" s="28" t="s">
        <v>567</v>
      </c>
      <c r="F77" s="28"/>
      <c r="G77" s="1018">
        <v>1200</v>
      </c>
      <c r="H77" s="28" t="s">
        <v>571</v>
      </c>
      <c r="I77" s="28" t="s">
        <v>570</v>
      </c>
      <c r="J77" s="1026">
        <f>J76*$G$77</f>
        <v>9857.1428571428569</v>
      </c>
      <c r="K77" s="1027">
        <f>K76*$G$77</f>
        <v>9000</v>
      </c>
      <c r="L77" s="1017">
        <f t="shared" ref="L77:R77" si="9">L76*$G$77</f>
        <v>8142.857142857144</v>
      </c>
      <c r="M77" s="1017">
        <f t="shared" si="9"/>
        <v>7285.7142857142862</v>
      </c>
      <c r="N77" s="1027">
        <f t="shared" si="9"/>
        <v>6428.5714285714294</v>
      </c>
      <c r="O77" s="1017">
        <f t="shared" si="9"/>
        <v>5571.4285714285716</v>
      </c>
      <c r="P77" s="1017">
        <f t="shared" si="9"/>
        <v>4714.2857142857147</v>
      </c>
      <c r="Q77" s="1027">
        <f t="shared" si="9"/>
        <v>3857.1428571428573</v>
      </c>
      <c r="R77" s="1028">
        <f t="shared" si="9"/>
        <v>3000</v>
      </c>
      <c r="S77" s="726"/>
      <c r="T77" s="740"/>
      <c r="U77" s="740"/>
      <c r="V77" s="740"/>
      <c r="W77" s="740"/>
      <c r="X77" s="740"/>
      <c r="Y77" s="740"/>
      <c r="Z77" s="740"/>
      <c r="AA77" s="740"/>
      <c r="AB77" s="740"/>
      <c r="AC77" s="740"/>
      <c r="AD77" s="740"/>
      <c r="AE77" s="740"/>
      <c r="AF77" s="740"/>
      <c r="AG77" s="740"/>
      <c r="AH77" s="740"/>
      <c r="AI77" s="740"/>
      <c r="AJ77" s="740"/>
      <c r="AK77" s="740"/>
      <c r="AL77" s="740"/>
      <c r="AM77" s="740"/>
      <c r="AN77" s="740"/>
      <c r="AO77" s="740"/>
      <c r="AP77" s="740"/>
      <c r="AQ77" s="740"/>
      <c r="AR77" s="740"/>
      <c r="AS77" s="740"/>
      <c r="AT77" s="740"/>
      <c r="AU77" s="740"/>
      <c r="AV77" s="740"/>
      <c r="AW77" s="740"/>
      <c r="AX77" s="740"/>
      <c r="AY77" s="740"/>
      <c r="AZ77" s="740"/>
      <c r="BA77" s="740"/>
      <c r="BB77" s="740"/>
      <c r="BC77" s="740"/>
      <c r="BD77" s="740"/>
      <c r="BE77" s="740"/>
      <c r="BF77" s="740"/>
      <c r="BG77" s="740"/>
      <c r="BH77" s="740"/>
      <c r="BI77" s="740"/>
      <c r="BJ77" s="740"/>
      <c r="BK77" s="740"/>
      <c r="BL77" s="740"/>
      <c r="BM77" s="740"/>
      <c r="BN77" s="740"/>
      <c r="BO77" s="740"/>
      <c r="BP77" s="740"/>
      <c r="BQ77" s="740"/>
      <c r="BR77" s="740"/>
      <c r="BS77" s="740"/>
      <c r="BT77" s="740"/>
      <c r="BU77" s="740"/>
      <c r="BV77" s="740"/>
      <c r="BW77" s="740"/>
      <c r="BX77" s="740"/>
      <c r="BY77" s="740"/>
      <c r="BZ77" s="740"/>
      <c r="CA77" s="740"/>
      <c r="CB77" s="740"/>
      <c r="CC77" s="740"/>
      <c r="CD77" s="740"/>
      <c r="CE77" s="740"/>
      <c r="CF77" s="740"/>
      <c r="CG77" s="740"/>
      <c r="CH77" s="740"/>
      <c r="CI77" s="740"/>
      <c r="CJ77" s="740"/>
      <c r="CK77" s="740"/>
      <c r="CL77" s="740"/>
      <c r="CM77" s="740"/>
      <c r="CN77" s="740"/>
      <c r="CO77" s="740"/>
      <c r="CP77" s="740"/>
      <c r="CQ77" s="740"/>
      <c r="CR77" s="740"/>
      <c r="CS77" s="740"/>
      <c r="CT77" s="740"/>
      <c r="CU77" s="740"/>
      <c r="CV77" s="740"/>
      <c r="CW77" s="740"/>
      <c r="CX77" s="740"/>
      <c r="CY77" s="740"/>
      <c r="CZ77" s="740"/>
      <c r="DA77" s="740"/>
      <c r="DB77" s="740"/>
      <c r="DC77" s="740"/>
      <c r="DD77" s="740"/>
      <c r="DE77" s="740"/>
      <c r="DF77" s="740"/>
      <c r="DG77" s="740"/>
      <c r="DH77" s="740"/>
      <c r="DI77" s="740"/>
      <c r="DJ77" s="740"/>
      <c r="DK77" s="740"/>
      <c r="DL77" s="740"/>
      <c r="DM77" s="740"/>
      <c r="DN77" s="740"/>
      <c r="DO77" s="740"/>
      <c r="DP77" s="740"/>
      <c r="DQ77" s="740"/>
      <c r="DR77" s="740"/>
      <c r="DS77" s="740"/>
      <c r="DT77" s="740"/>
      <c r="DU77" s="740"/>
      <c r="DV77" s="740"/>
      <c r="DW77" s="740"/>
      <c r="DX77" s="740"/>
      <c r="DY77" s="740"/>
      <c r="DZ77" s="740"/>
      <c r="EA77" s="740"/>
      <c r="EB77" s="740"/>
      <c r="EC77" s="740"/>
      <c r="ED77" s="740"/>
      <c r="EE77" s="740"/>
      <c r="EF77" s="740"/>
      <c r="EG77" s="740"/>
      <c r="EH77" s="740"/>
      <c r="EI77" s="740"/>
      <c r="EJ77" s="740"/>
      <c r="EK77" s="740"/>
      <c r="EL77" s="740"/>
      <c r="EM77" s="740"/>
      <c r="EN77" s="740"/>
      <c r="EO77" s="740"/>
      <c r="EP77" s="740"/>
      <c r="EQ77" s="740"/>
      <c r="ER77" s="740"/>
      <c r="ES77" s="740"/>
      <c r="ET77" s="740"/>
      <c r="EU77" s="740"/>
      <c r="EV77" s="740"/>
      <c r="EW77" s="740"/>
      <c r="EX77" s="740"/>
      <c r="EY77" s="740"/>
      <c r="EZ77" s="740"/>
      <c r="FA77" s="740"/>
      <c r="FB77" s="740"/>
      <c r="FC77" s="740"/>
      <c r="FD77" s="740"/>
      <c r="FE77" s="740"/>
      <c r="FF77" s="740"/>
      <c r="FG77" s="740"/>
      <c r="FH77" s="740"/>
      <c r="FI77" s="740"/>
      <c r="FJ77" s="740"/>
      <c r="FK77" s="740"/>
      <c r="FL77" s="740"/>
      <c r="FM77" s="740"/>
      <c r="FN77" s="740"/>
      <c r="FO77" s="740"/>
      <c r="FP77" s="740"/>
      <c r="FQ77" s="740"/>
      <c r="FR77" s="740"/>
      <c r="FS77" s="740"/>
      <c r="FT77" s="740"/>
      <c r="FU77" s="740"/>
      <c r="FV77" s="740"/>
      <c r="FW77" s="740"/>
      <c r="FX77" s="740"/>
      <c r="FY77" s="740"/>
      <c r="FZ77" s="740"/>
      <c r="GA77" s="740"/>
      <c r="GB77" s="740"/>
      <c r="GC77" s="740"/>
      <c r="GD77" s="740"/>
      <c r="GE77" s="740"/>
      <c r="GF77" s="740"/>
      <c r="GG77" s="740"/>
      <c r="GH77" s="740"/>
      <c r="GI77" s="740"/>
      <c r="GJ77" s="740"/>
      <c r="GK77" s="740"/>
      <c r="GL77" s="740"/>
      <c r="GM77" s="740"/>
      <c r="GN77" s="740"/>
      <c r="GO77" s="740"/>
      <c r="GP77" s="740"/>
      <c r="GQ77" s="740"/>
      <c r="GR77" s="740"/>
      <c r="GS77" s="740"/>
      <c r="GT77" s="740"/>
      <c r="GU77" s="740"/>
      <c r="GV77" s="740"/>
      <c r="GW77" s="740"/>
    </row>
    <row r="78" spans="1:205" ht="24" customHeight="1" x14ac:dyDescent="0.2">
      <c r="A78" s="2503"/>
      <c r="C78"/>
      <c r="D78" s="37"/>
      <c r="E78" s="28" t="s">
        <v>1097</v>
      </c>
      <c r="F78" s="28"/>
      <c r="G78" s="1019"/>
      <c r="H78" s="28"/>
      <c r="I78" s="28"/>
      <c r="J78" s="1026">
        <f t="shared" ref="J78:R78" si="10">J74-J77</f>
        <v>30639.523809523816</v>
      </c>
      <c r="K78" s="1027">
        <f t="shared" si="10"/>
        <v>33453.333333333336</v>
      </c>
      <c r="L78" s="1017">
        <f t="shared" si="10"/>
        <v>36267.142857142862</v>
      </c>
      <c r="M78" s="1017">
        <f t="shared" si="10"/>
        <v>39080.952380952382</v>
      </c>
      <c r="N78" s="1027">
        <f t="shared" si="10"/>
        <v>41894.761904761908</v>
      </c>
      <c r="O78" s="1017">
        <f t="shared" si="10"/>
        <v>44708.571428571428</v>
      </c>
      <c r="P78" s="1017">
        <f t="shared" si="10"/>
        <v>47429.047619047618</v>
      </c>
      <c r="Q78" s="1027">
        <f t="shared" si="10"/>
        <v>50149.523809523809</v>
      </c>
      <c r="R78" s="1028">
        <f t="shared" si="10"/>
        <v>52870</v>
      </c>
      <c r="S78"/>
      <c r="T78" s="740"/>
      <c r="U78" s="740"/>
      <c r="V78" s="740"/>
      <c r="W78" s="740"/>
      <c r="X78" s="740"/>
      <c r="Y78" s="740"/>
      <c r="Z78" s="740"/>
      <c r="AA78" s="740"/>
      <c r="AB78" s="740"/>
      <c r="AC78" s="740"/>
      <c r="AD78" s="740"/>
      <c r="AE78" s="740"/>
      <c r="AF78" s="740"/>
      <c r="AG78" s="740"/>
      <c r="AH78" s="740"/>
      <c r="AI78" s="740"/>
      <c r="AJ78" s="740"/>
      <c r="AK78" s="740"/>
      <c r="AL78" s="740"/>
      <c r="AM78" s="740"/>
      <c r="AN78" s="740"/>
      <c r="AO78" s="740"/>
      <c r="AP78" s="740"/>
      <c r="AQ78" s="740"/>
      <c r="AR78" s="740"/>
      <c r="AS78" s="740"/>
      <c r="AT78" s="740"/>
      <c r="AU78" s="740"/>
      <c r="AV78" s="740"/>
      <c r="AW78" s="740"/>
      <c r="AX78" s="740"/>
      <c r="AY78" s="740"/>
      <c r="AZ78" s="740"/>
      <c r="BA78" s="740"/>
      <c r="BB78" s="740"/>
      <c r="BC78" s="740"/>
      <c r="BD78" s="740"/>
      <c r="BE78" s="740"/>
      <c r="BF78" s="740"/>
      <c r="BG78" s="740"/>
      <c r="BH78" s="740"/>
      <c r="BI78" s="740"/>
      <c r="BJ78" s="740"/>
      <c r="BK78" s="740"/>
      <c r="BL78" s="740"/>
      <c r="BM78" s="740"/>
      <c r="BN78" s="740"/>
      <c r="BO78" s="740"/>
      <c r="BP78" s="740"/>
      <c r="BQ78" s="740"/>
      <c r="BR78" s="740"/>
      <c r="BS78" s="740"/>
      <c r="BT78" s="740"/>
      <c r="BU78" s="740"/>
      <c r="BV78" s="740"/>
      <c r="BW78" s="740"/>
      <c r="BX78" s="740"/>
      <c r="BY78" s="740"/>
      <c r="BZ78" s="740"/>
      <c r="CA78" s="740"/>
      <c r="CB78" s="740"/>
      <c r="CC78" s="740"/>
      <c r="CD78" s="740"/>
      <c r="CE78" s="740"/>
      <c r="CF78" s="740"/>
      <c r="CG78" s="740"/>
      <c r="CH78" s="740"/>
      <c r="CI78" s="740"/>
      <c r="CJ78" s="740"/>
      <c r="CK78" s="740"/>
      <c r="CL78" s="740"/>
      <c r="CM78" s="740"/>
      <c r="CN78" s="740"/>
      <c r="CO78" s="740"/>
      <c r="CP78" s="740"/>
      <c r="CQ78" s="740"/>
      <c r="CR78" s="740"/>
      <c r="CS78" s="740"/>
      <c r="CT78" s="740"/>
      <c r="CU78" s="740"/>
      <c r="CV78" s="740"/>
      <c r="CW78" s="740"/>
      <c r="CX78" s="740"/>
      <c r="CY78" s="740"/>
      <c r="CZ78" s="740"/>
      <c r="DA78" s="740"/>
      <c r="DB78" s="740"/>
      <c r="DC78" s="740"/>
      <c r="DD78" s="740"/>
      <c r="DE78" s="740"/>
      <c r="DF78" s="740"/>
      <c r="DG78" s="740"/>
      <c r="DH78" s="740"/>
      <c r="DI78" s="740"/>
      <c r="DJ78" s="740"/>
      <c r="DK78" s="740"/>
      <c r="DL78" s="740"/>
      <c r="DM78" s="740"/>
      <c r="DN78" s="740"/>
      <c r="DO78" s="740"/>
      <c r="DP78" s="740"/>
      <c r="DQ78" s="740"/>
      <c r="DR78" s="740"/>
      <c r="DS78" s="740"/>
      <c r="DT78" s="740"/>
      <c r="DU78" s="740"/>
      <c r="DV78" s="740"/>
      <c r="DW78" s="740"/>
      <c r="DX78" s="740"/>
      <c r="DY78" s="740"/>
      <c r="DZ78" s="740"/>
      <c r="EA78" s="740"/>
      <c r="EB78" s="740"/>
      <c r="EC78" s="740"/>
      <c r="ED78" s="740"/>
      <c r="EE78" s="740"/>
      <c r="EF78" s="740"/>
      <c r="EG78" s="740"/>
      <c r="EH78" s="740"/>
      <c r="EI78" s="740"/>
      <c r="EJ78" s="740"/>
      <c r="EK78" s="740"/>
      <c r="EL78" s="740"/>
      <c r="EM78" s="740"/>
      <c r="EN78" s="740"/>
      <c r="EO78" s="740"/>
      <c r="EP78" s="740"/>
      <c r="EQ78" s="740"/>
      <c r="ER78" s="740"/>
      <c r="ES78" s="740"/>
      <c r="ET78" s="740"/>
      <c r="EU78" s="740"/>
      <c r="EV78" s="740"/>
      <c r="EW78" s="740"/>
      <c r="EX78" s="740"/>
      <c r="EY78" s="740"/>
      <c r="EZ78" s="740"/>
      <c r="FA78" s="740"/>
      <c r="FB78" s="740"/>
      <c r="FC78" s="740"/>
      <c r="FD78" s="740"/>
      <c r="FE78" s="740"/>
      <c r="FF78" s="740"/>
      <c r="FG78" s="740"/>
      <c r="FH78" s="740"/>
      <c r="FI78" s="740"/>
      <c r="FJ78" s="740"/>
      <c r="FK78" s="740"/>
      <c r="FL78" s="740"/>
      <c r="FM78" s="740"/>
      <c r="FN78" s="740"/>
      <c r="FO78" s="740"/>
      <c r="FP78" s="740"/>
      <c r="FQ78" s="740"/>
      <c r="FR78" s="740"/>
      <c r="FS78" s="740"/>
      <c r="FT78" s="740"/>
      <c r="FU78" s="740"/>
      <c r="FV78" s="740"/>
      <c r="FW78" s="740"/>
      <c r="FX78" s="740"/>
      <c r="FY78" s="740"/>
      <c r="FZ78" s="740"/>
      <c r="GA78" s="740"/>
      <c r="GB78" s="740"/>
      <c r="GC78" s="740"/>
      <c r="GD78" s="740"/>
      <c r="GE78" s="740"/>
      <c r="GF78" s="740"/>
      <c r="GG78" s="740"/>
      <c r="GH78" s="740"/>
      <c r="GI78" s="740"/>
      <c r="GJ78" s="740"/>
      <c r="GK78" s="740"/>
      <c r="GL78" s="740"/>
      <c r="GM78" s="740"/>
      <c r="GN78" s="740"/>
      <c r="GO78" s="740"/>
      <c r="GP78" s="740"/>
      <c r="GQ78" s="740"/>
      <c r="GR78" s="740"/>
      <c r="GS78" s="740"/>
      <c r="GT78" s="740"/>
      <c r="GU78" s="740"/>
      <c r="GV78" s="740"/>
      <c r="GW78" s="740"/>
    </row>
    <row r="79" spans="1:205" ht="17.45" customHeight="1" x14ac:dyDescent="0.2">
      <c r="A79" s="2503"/>
      <c r="C79"/>
      <c r="D79" s="641"/>
      <c r="E79" s="1045"/>
      <c r="F79" s="16"/>
      <c r="G79" s="16"/>
      <c r="H79" s="16"/>
      <c r="I79" s="16"/>
      <c r="J79" s="1033"/>
      <c r="K79" s="1046"/>
      <c r="L79" s="1047"/>
      <c r="M79" s="1047"/>
      <c r="N79" s="1046"/>
      <c r="O79" s="1047"/>
      <c r="P79" s="1047"/>
      <c r="Q79" s="1046"/>
      <c r="R79" s="1048"/>
      <c r="S79"/>
      <c r="T79" s="740"/>
      <c r="V79" s="740"/>
      <c r="W79" s="740"/>
      <c r="X79" s="740"/>
      <c r="Y79" s="740"/>
      <c r="Z79" s="740"/>
      <c r="AA79" s="740"/>
      <c r="AB79" s="740"/>
      <c r="AC79" s="740"/>
      <c r="AD79" s="740"/>
      <c r="AE79" s="740"/>
      <c r="AF79" s="740"/>
      <c r="AG79" s="740"/>
      <c r="AH79" s="740"/>
      <c r="AI79" s="740"/>
      <c r="AJ79" s="740"/>
      <c r="AK79" s="740"/>
      <c r="AL79" s="740"/>
      <c r="AM79" s="740"/>
      <c r="AN79" s="740"/>
      <c r="AO79" s="740"/>
      <c r="AP79" s="740"/>
      <c r="AQ79" s="740"/>
      <c r="AR79" s="740"/>
      <c r="AS79" s="740"/>
      <c r="AT79" s="740"/>
      <c r="AU79" s="740"/>
      <c r="AV79" s="740"/>
      <c r="AW79" s="740"/>
      <c r="AX79" s="740"/>
      <c r="AY79" s="740"/>
      <c r="AZ79" s="740"/>
      <c r="BA79" s="740"/>
      <c r="BB79" s="740"/>
      <c r="BC79" s="740"/>
      <c r="BD79" s="740"/>
      <c r="BE79" s="740"/>
      <c r="BF79" s="740"/>
      <c r="BG79" s="740"/>
      <c r="BH79" s="740"/>
      <c r="BI79" s="740"/>
      <c r="BJ79" s="740"/>
      <c r="BK79" s="740"/>
      <c r="BL79" s="740"/>
      <c r="BM79" s="740"/>
      <c r="BN79" s="740"/>
      <c r="BO79" s="740"/>
      <c r="BP79" s="740"/>
      <c r="BQ79" s="740"/>
      <c r="BR79" s="740"/>
      <c r="BS79" s="740"/>
      <c r="BT79" s="740"/>
      <c r="BU79" s="740"/>
      <c r="BV79" s="740"/>
      <c r="BW79" s="740"/>
      <c r="BX79" s="740"/>
      <c r="BY79" s="740"/>
      <c r="BZ79" s="740"/>
      <c r="CA79" s="740"/>
      <c r="CB79" s="740"/>
      <c r="CC79" s="740"/>
      <c r="CD79" s="740"/>
      <c r="CE79" s="740"/>
      <c r="CF79" s="740"/>
      <c r="CG79" s="740"/>
      <c r="CH79" s="740"/>
      <c r="CI79" s="740"/>
      <c r="CJ79" s="740"/>
      <c r="CK79" s="740"/>
      <c r="CL79" s="740"/>
      <c r="CM79" s="740"/>
      <c r="CN79" s="740"/>
      <c r="CO79" s="740"/>
      <c r="CP79" s="740"/>
      <c r="CQ79" s="740"/>
      <c r="CR79" s="740"/>
      <c r="CS79" s="740"/>
      <c r="CT79" s="740"/>
      <c r="CU79" s="740"/>
      <c r="CV79" s="740"/>
      <c r="CW79" s="740"/>
      <c r="CX79" s="740"/>
      <c r="CY79" s="740"/>
      <c r="CZ79" s="740"/>
      <c r="DA79" s="740"/>
      <c r="DB79" s="740"/>
      <c r="DC79" s="740"/>
      <c r="DD79" s="740"/>
      <c r="DE79" s="740"/>
      <c r="DF79" s="740"/>
      <c r="DG79" s="740"/>
      <c r="DH79" s="740"/>
      <c r="DI79" s="740"/>
      <c r="DJ79" s="740"/>
      <c r="DK79" s="740"/>
      <c r="DL79" s="740"/>
      <c r="DM79" s="740"/>
      <c r="DN79" s="740"/>
      <c r="DO79" s="740"/>
      <c r="DP79" s="740"/>
      <c r="DQ79" s="740"/>
      <c r="DR79" s="740"/>
      <c r="DS79" s="740"/>
      <c r="DT79" s="740"/>
      <c r="DU79" s="740"/>
      <c r="DV79" s="740"/>
      <c r="DW79" s="740"/>
      <c r="DX79" s="740"/>
      <c r="DY79" s="740"/>
      <c r="DZ79" s="740"/>
      <c r="EA79" s="740"/>
      <c r="EB79" s="740"/>
      <c r="EC79" s="740"/>
      <c r="ED79" s="740"/>
      <c r="EE79" s="740"/>
      <c r="EF79" s="740"/>
      <c r="EG79" s="740"/>
      <c r="EH79" s="740"/>
      <c r="EI79" s="740"/>
      <c r="EJ79" s="740"/>
      <c r="EK79" s="740"/>
      <c r="EL79" s="740"/>
      <c r="EM79" s="740"/>
      <c r="EN79" s="740"/>
      <c r="EO79" s="740"/>
      <c r="EP79" s="740"/>
      <c r="EQ79" s="740"/>
      <c r="ER79" s="740"/>
      <c r="ES79" s="740"/>
      <c r="ET79" s="740"/>
      <c r="EU79" s="740"/>
      <c r="EV79" s="740"/>
      <c r="EW79" s="740"/>
      <c r="EX79" s="740"/>
      <c r="EY79" s="740"/>
      <c r="EZ79" s="740"/>
      <c r="FA79" s="740"/>
      <c r="FB79" s="740"/>
      <c r="FC79" s="740"/>
      <c r="FD79" s="740"/>
      <c r="FE79" s="740"/>
      <c r="FF79" s="740"/>
      <c r="FG79" s="740"/>
      <c r="FH79" s="740"/>
      <c r="FI79" s="740"/>
      <c r="FJ79" s="740"/>
      <c r="FK79" s="740"/>
      <c r="FL79" s="740"/>
      <c r="FM79" s="740"/>
      <c r="FN79" s="740"/>
      <c r="FO79" s="740"/>
      <c r="FP79" s="740"/>
      <c r="FQ79" s="740"/>
      <c r="FR79" s="740"/>
      <c r="FS79" s="740"/>
      <c r="FT79" s="740"/>
      <c r="FU79" s="740"/>
      <c r="FV79" s="740"/>
      <c r="FW79" s="740"/>
      <c r="FX79" s="740"/>
      <c r="FY79" s="740"/>
      <c r="FZ79" s="740"/>
      <c r="GA79" s="740"/>
      <c r="GB79" s="740"/>
      <c r="GC79" s="740"/>
      <c r="GD79" s="740"/>
      <c r="GE79" s="740"/>
      <c r="GF79" s="740"/>
      <c r="GG79" s="740"/>
      <c r="GH79" s="740"/>
      <c r="GI79" s="740"/>
      <c r="GJ79" s="740"/>
      <c r="GK79" s="740"/>
      <c r="GL79" s="740"/>
      <c r="GM79" s="740"/>
      <c r="GN79" s="740"/>
      <c r="GO79" s="740"/>
      <c r="GP79" s="740"/>
      <c r="GQ79" s="740"/>
      <c r="GR79" s="740"/>
      <c r="GS79" s="740"/>
      <c r="GT79" s="740"/>
      <c r="GU79" s="740"/>
      <c r="GV79" s="740"/>
      <c r="GW79" s="740"/>
    </row>
    <row r="80" spans="1:205" ht="29.25" customHeight="1" x14ac:dyDescent="0.2">
      <c r="A80" s="2503"/>
      <c r="C80" s="4"/>
      <c r="D80" s="101"/>
      <c r="E80" s="123" t="s">
        <v>631</v>
      </c>
      <c r="G80" s="507"/>
      <c r="I80" s="291" t="s">
        <v>570</v>
      </c>
      <c r="J80" s="1029">
        <f t="shared" ref="J80:R80" si="11">J78</f>
        <v>30639.523809523816</v>
      </c>
      <c r="K80" s="1030">
        <f t="shared" si="11"/>
        <v>33453.333333333336</v>
      </c>
      <c r="L80" s="1031">
        <f t="shared" si="11"/>
        <v>36267.142857142862</v>
      </c>
      <c r="M80" s="1031">
        <f t="shared" si="11"/>
        <v>39080.952380952382</v>
      </c>
      <c r="N80" s="1030">
        <f t="shared" si="11"/>
        <v>41894.761904761908</v>
      </c>
      <c r="O80" s="1031">
        <f t="shared" si="11"/>
        <v>44708.571428571428</v>
      </c>
      <c r="P80" s="1031">
        <f t="shared" si="11"/>
        <v>47429.047619047618</v>
      </c>
      <c r="Q80" s="1030">
        <f t="shared" si="11"/>
        <v>50149.523809523809</v>
      </c>
      <c r="R80" s="1032">
        <f t="shared" si="11"/>
        <v>52870</v>
      </c>
      <c r="S80" s="4"/>
      <c r="T80" s="767"/>
      <c r="U80" s="767"/>
      <c r="V80" s="767"/>
      <c r="W80" s="767"/>
      <c r="X80" s="767"/>
      <c r="Y80" s="767"/>
      <c r="Z80" s="767"/>
      <c r="AA80" s="767"/>
      <c r="AB80" s="767"/>
      <c r="AC80" s="767"/>
      <c r="AD80" s="767"/>
      <c r="AE80" s="767"/>
      <c r="AF80" s="767"/>
      <c r="AG80" s="767"/>
      <c r="AH80" s="767"/>
      <c r="AI80" s="767"/>
      <c r="AJ80" s="767"/>
      <c r="AK80" s="767"/>
      <c r="AL80" s="767"/>
      <c r="AM80" s="767"/>
      <c r="AN80" s="767"/>
      <c r="AO80" s="767"/>
      <c r="AP80" s="767"/>
      <c r="AQ80" s="767"/>
      <c r="AR80" s="767"/>
      <c r="AS80" s="767"/>
      <c r="AT80" s="767"/>
      <c r="AU80" s="767"/>
      <c r="AV80" s="767"/>
      <c r="AW80" s="767"/>
      <c r="AX80" s="767"/>
      <c r="AY80" s="767"/>
      <c r="AZ80" s="767"/>
      <c r="BA80" s="767"/>
      <c r="BB80" s="767"/>
      <c r="BC80" s="767"/>
      <c r="BD80" s="767"/>
      <c r="BE80" s="767"/>
      <c r="BF80" s="767"/>
      <c r="BG80" s="767"/>
      <c r="BH80" s="767"/>
      <c r="BI80" s="767"/>
      <c r="BJ80" s="767"/>
      <c r="BK80" s="767"/>
      <c r="BL80" s="767"/>
      <c r="BM80" s="767"/>
      <c r="BN80" s="767"/>
      <c r="BO80" s="767"/>
      <c r="BP80" s="767"/>
      <c r="BQ80" s="767"/>
      <c r="BR80" s="767"/>
      <c r="BS80" s="767"/>
      <c r="BT80" s="767"/>
      <c r="BU80" s="767"/>
      <c r="BV80" s="767"/>
      <c r="BW80" s="767"/>
      <c r="BX80" s="767"/>
      <c r="BY80" s="767"/>
      <c r="BZ80" s="767"/>
      <c r="CA80" s="767"/>
      <c r="CB80" s="767"/>
      <c r="CC80" s="767"/>
      <c r="CD80" s="767"/>
      <c r="CE80" s="767"/>
      <c r="CF80" s="767"/>
      <c r="CG80" s="767"/>
      <c r="CH80" s="767"/>
      <c r="CI80" s="767"/>
      <c r="CJ80" s="767"/>
      <c r="CK80" s="767"/>
      <c r="CL80" s="767"/>
      <c r="CM80" s="767"/>
      <c r="CN80" s="767"/>
      <c r="CO80" s="767"/>
      <c r="CP80" s="767"/>
      <c r="CQ80" s="767"/>
      <c r="CR80" s="767"/>
      <c r="CS80" s="767"/>
      <c r="CT80" s="767"/>
      <c r="CU80" s="767"/>
      <c r="CV80" s="767"/>
      <c r="CW80" s="767"/>
      <c r="CX80" s="767"/>
      <c r="CY80" s="767"/>
      <c r="CZ80" s="767"/>
      <c r="DA80" s="767"/>
      <c r="DB80" s="767"/>
      <c r="DC80" s="767"/>
      <c r="DD80" s="767"/>
      <c r="DE80" s="767"/>
      <c r="DF80" s="767"/>
      <c r="DG80" s="767"/>
      <c r="DH80" s="767"/>
      <c r="DI80" s="767"/>
      <c r="DJ80" s="767"/>
      <c r="DK80" s="767"/>
      <c r="DL80" s="767"/>
      <c r="DM80" s="767"/>
      <c r="DN80" s="767"/>
      <c r="DO80" s="767"/>
      <c r="DP80" s="767"/>
      <c r="DQ80" s="767"/>
      <c r="DR80" s="767"/>
      <c r="DS80" s="767"/>
      <c r="DT80" s="767"/>
      <c r="DU80" s="767"/>
      <c r="DV80" s="767"/>
      <c r="DW80" s="767"/>
      <c r="DX80" s="767"/>
      <c r="DY80" s="767"/>
      <c r="DZ80" s="767"/>
      <c r="EA80" s="767"/>
      <c r="EB80" s="767"/>
      <c r="EC80" s="767"/>
      <c r="ED80" s="767"/>
      <c r="EE80" s="767"/>
      <c r="EF80" s="767"/>
      <c r="EG80" s="767"/>
      <c r="EH80" s="767"/>
      <c r="EI80" s="767"/>
      <c r="EJ80" s="767"/>
      <c r="EK80" s="767"/>
      <c r="EL80" s="767"/>
      <c r="EM80" s="767"/>
      <c r="EN80" s="767"/>
      <c r="EO80" s="767"/>
      <c r="EP80" s="767"/>
      <c r="EQ80" s="767"/>
      <c r="ER80" s="767"/>
      <c r="ES80" s="767"/>
      <c r="ET80" s="767"/>
      <c r="EU80" s="767"/>
      <c r="EV80" s="767"/>
      <c r="EW80" s="767"/>
      <c r="EX80" s="767"/>
      <c r="EY80" s="767"/>
      <c r="EZ80" s="767"/>
      <c r="FA80" s="767"/>
      <c r="FB80" s="767"/>
      <c r="FC80" s="767"/>
      <c r="FD80" s="767"/>
      <c r="FE80" s="767"/>
      <c r="FF80" s="767"/>
      <c r="FG80" s="767"/>
      <c r="FH80" s="767"/>
      <c r="FI80" s="767"/>
      <c r="FJ80" s="767"/>
      <c r="FK80" s="767"/>
      <c r="FL80" s="767"/>
      <c r="FM80" s="767"/>
      <c r="FN80" s="767"/>
      <c r="FO80" s="767"/>
      <c r="FP80" s="767"/>
      <c r="FQ80" s="767"/>
      <c r="FR80" s="767"/>
      <c r="FS80" s="767"/>
      <c r="FT80" s="767"/>
      <c r="FU80" s="767"/>
      <c r="FV80" s="767"/>
      <c r="FW80" s="767"/>
      <c r="FX80" s="767"/>
      <c r="FY80" s="767"/>
      <c r="FZ80" s="767"/>
      <c r="GA80" s="767"/>
      <c r="GB80" s="767"/>
      <c r="GC80" s="767"/>
      <c r="GD80" s="767"/>
      <c r="GE80" s="767"/>
      <c r="GF80" s="767"/>
      <c r="GG80" s="767"/>
      <c r="GH80" s="767"/>
      <c r="GI80" s="767"/>
      <c r="GJ80" s="767"/>
      <c r="GK80" s="767"/>
      <c r="GL80" s="767"/>
      <c r="GM80" s="767"/>
      <c r="GN80" s="767"/>
      <c r="GO80" s="767"/>
      <c r="GP80" s="767"/>
      <c r="GQ80" s="767"/>
      <c r="GR80" s="767"/>
      <c r="GS80" s="767"/>
      <c r="GT80" s="767"/>
      <c r="GU80" s="767"/>
      <c r="GV80" s="767"/>
      <c r="GW80" s="767"/>
    </row>
    <row r="81" spans="1:205" ht="24" customHeight="1" x14ac:dyDescent="0.2">
      <c r="A81" s="2503"/>
      <c r="C81" s="4"/>
      <c r="D81" s="468"/>
      <c r="E81" s="1970" t="s">
        <v>568</v>
      </c>
      <c r="F81" s="1038"/>
      <c r="G81" s="1039">
        <v>1.66</v>
      </c>
      <c r="H81" s="1038" t="s">
        <v>569</v>
      </c>
      <c r="I81" s="1040" t="s">
        <v>572</v>
      </c>
      <c r="J81" s="1029">
        <f t="shared" ref="J81:R81" si="12">J80/$G$81</f>
        <v>18457.544463568564</v>
      </c>
      <c r="K81" s="1041">
        <f t="shared" si="12"/>
        <v>20152.610441767072</v>
      </c>
      <c r="L81" s="1042">
        <f t="shared" si="12"/>
        <v>21847.676419965581</v>
      </c>
      <c r="M81" s="1042">
        <f t="shared" si="12"/>
        <v>23542.742398164086</v>
      </c>
      <c r="N81" s="1041">
        <f t="shared" si="12"/>
        <v>25237.808376362598</v>
      </c>
      <c r="O81" s="1042">
        <f t="shared" si="12"/>
        <v>26932.874354561103</v>
      </c>
      <c r="P81" s="1042">
        <f t="shared" si="12"/>
        <v>28571.715433161218</v>
      </c>
      <c r="Q81" s="1041">
        <f t="shared" si="12"/>
        <v>30210.556511761333</v>
      </c>
      <c r="R81" s="1043">
        <f t="shared" si="12"/>
        <v>31849.397590361448</v>
      </c>
      <c r="S81" s="4"/>
      <c r="T81" s="767"/>
      <c r="U81" s="767"/>
      <c r="V81" s="767"/>
      <c r="W81" s="767"/>
      <c r="X81" s="767"/>
      <c r="Y81" s="767"/>
      <c r="Z81" s="767"/>
      <c r="AA81" s="767"/>
      <c r="AB81" s="767"/>
      <c r="AC81" s="767"/>
      <c r="AD81" s="767"/>
      <c r="AE81" s="767"/>
      <c r="AF81" s="767"/>
      <c r="AG81" s="767"/>
      <c r="AH81" s="767"/>
      <c r="AI81" s="767"/>
      <c r="AJ81" s="767"/>
      <c r="AK81" s="767"/>
      <c r="AL81" s="767"/>
      <c r="AM81" s="767"/>
      <c r="AN81" s="767"/>
      <c r="AO81" s="767"/>
      <c r="AP81" s="767"/>
      <c r="AQ81" s="767"/>
      <c r="AR81" s="767"/>
      <c r="AS81" s="767"/>
      <c r="AT81" s="767"/>
      <c r="AU81" s="767"/>
      <c r="AV81" s="767"/>
      <c r="AW81" s="767"/>
      <c r="AX81" s="767"/>
      <c r="AY81" s="767"/>
      <c r="AZ81" s="767"/>
      <c r="BA81" s="767"/>
      <c r="BB81" s="767"/>
      <c r="BC81" s="767"/>
      <c r="BD81" s="767"/>
      <c r="BE81" s="767"/>
      <c r="BF81" s="767"/>
      <c r="BG81" s="767"/>
      <c r="BH81" s="767"/>
      <c r="BI81" s="767"/>
      <c r="BJ81" s="767"/>
      <c r="BK81" s="767"/>
      <c r="BL81" s="767"/>
      <c r="BM81" s="767"/>
      <c r="BN81" s="767"/>
      <c r="BO81" s="767"/>
      <c r="BP81" s="767"/>
      <c r="BQ81" s="767"/>
      <c r="BR81" s="767"/>
      <c r="BS81" s="767"/>
      <c r="BT81" s="767"/>
      <c r="BU81" s="767"/>
      <c r="BV81" s="767"/>
      <c r="BW81" s="767"/>
      <c r="BX81" s="767"/>
      <c r="BY81" s="767"/>
      <c r="BZ81" s="767"/>
      <c r="CA81" s="767"/>
      <c r="CB81" s="767"/>
      <c r="CC81" s="767"/>
      <c r="CD81" s="767"/>
      <c r="CE81" s="767"/>
      <c r="CF81" s="767"/>
      <c r="CG81" s="767"/>
      <c r="CH81" s="767"/>
      <c r="CI81" s="767"/>
      <c r="CJ81" s="767"/>
      <c r="CK81" s="767"/>
      <c r="CL81" s="767"/>
      <c r="CM81" s="767"/>
      <c r="CN81" s="767"/>
      <c r="CO81" s="767"/>
      <c r="CP81" s="767"/>
      <c r="CQ81" s="767"/>
      <c r="CR81" s="767"/>
      <c r="CS81" s="767"/>
      <c r="CT81" s="767"/>
      <c r="CU81" s="767"/>
      <c r="CV81" s="767"/>
      <c r="CW81" s="767"/>
      <c r="CX81" s="767"/>
      <c r="CY81" s="767"/>
      <c r="CZ81" s="767"/>
      <c r="DA81" s="767"/>
      <c r="DB81" s="767"/>
      <c r="DC81" s="767"/>
      <c r="DD81" s="767"/>
      <c r="DE81" s="767"/>
      <c r="DF81" s="767"/>
      <c r="DG81" s="767"/>
      <c r="DH81" s="767"/>
      <c r="DI81" s="767"/>
      <c r="DJ81" s="767"/>
      <c r="DK81" s="767"/>
      <c r="DL81" s="767"/>
      <c r="DM81" s="767"/>
      <c r="DN81" s="767"/>
      <c r="DO81" s="767"/>
      <c r="DP81" s="767"/>
      <c r="DQ81" s="767"/>
      <c r="DR81" s="767"/>
      <c r="DS81" s="767"/>
      <c r="DT81" s="767"/>
      <c r="DU81" s="767"/>
      <c r="DV81" s="767"/>
      <c r="DW81" s="767"/>
      <c r="DX81" s="767"/>
      <c r="DY81" s="767"/>
      <c r="DZ81" s="767"/>
      <c r="EA81" s="767"/>
      <c r="EB81" s="767"/>
      <c r="EC81" s="767"/>
      <c r="ED81" s="767"/>
      <c r="EE81" s="767"/>
      <c r="EF81" s="767"/>
      <c r="EG81" s="767"/>
      <c r="EH81" s="767"/>
      <c r="EI81" s="767"/>
      <c r="EJ81" s="767"/>
      <c r="EK81" s="767"/>
      <c r="EL81" s="767"/>
      <c r="EM81" s="767"/>
      <c r="EN81" s="767"/>
      <c r="EO81" s="767"/>
      <c r="EP81" s="767"/>
      <c r="EQ81" s="767"/>
      <c r="ER81" s="767"/>
      <c r="ES81" s="767"/>
      <c r="ET81" s="767"/>
      <c r="EU81" s="767"/>
      <c r="EV81" s="767"/>
      <c r="EW81" s="767"/>
      <c r="EX81" s="767"/>
      <c r="EY81" s="767"/>
      <c r="EZ81" s="767"/>
      <c r="FA81" s="767"/>
      <c r="FB81" s="767"/>
      <c r="FC81" s="767"/>
      <c r="FD81" s="767"/>
      <c r="FE81" s="767"/>
      <c r="FF81" s="767"/>
      <c r="FG81" s="767"/>
      <c r="FH81" s="767"/>
      <c r="FI81" s="767"/>
      <c r="FJ81" s="767"/>
      <c r="FK81" s="767"/>
      <c r="FL81" s="767"/>
      <c r="FM81" s="767"/>
      <c r="FN81" s="767"/>
      <c r="FO81" s="767"/>
      <c r="FP81" s="767"/>
      <c r="FQ81" s="767"/>
      <c r="FR81" s="767"/>
      <c r="FS81" s="767"/>
      <c r="FT81" s="767"/>
      <c r="FU81" s="767"/>
      <c r="FV81" s="767"/>
      <c r="FW81" s="767"/>
      <c r="FX81" s="767"/>
      <c r="FY81" s="767"/>
      <c r="FZ81" s="767"/>
      <c r="GA81" s="767"/>
      <c r="GB81" s="767"/>
      <c r="GC81" s="767"/>
      <c r="GD81" s="767"/>
      <c r="GE81" s="767"/>
      <c r="GF81" s="767"/>
      <c r="GG81" s="767"/>
      <c r="GH81" s="767"/>
      <c r="GI81" s="767"/>
      <c r="GJ81" s="767"/>
      <c r="GK81" s="767"/>
      <c r="GL81" s="767"/>
      <c r="GM81" s="767"/>
      <c r="GN81" s="767"/>
      <c r="GO81" s="767"/>
      <c r="GP81" s="767"/>
      <c r="GQ81" s="767"/>
      <c r="GR81" s="767"/>
      <c r="GS81" s="767"/>
      <c r="GT81" s="767"/>
      <c r="GU81" s="767"/>
      <c r="GV81" s="767"/>
      <c r="GW81" s="767"/>
    </row>
    <row r="82" spans="1:205" ht="24" customHeight="1" x14ac:dyDescent="0.2">
      <c r="A82" s="2503"/>
      <c r="D82" s="469"/>
      <c r="E82" s="190"/>
      <c r="F82" s="190"/>
      <c r="G82" s="190"/>
      <c r="H82" s="190"/>
      <c r="I82" s="1034" t="s">
        <v>1098</v>
      </c>
      <c r="J82" s="1035">
        <f>J81/10</f>
        <v>1845.7544463568563</v>
      </c>
      <c r="K82" s="1044">
        <f>K81/10</f>
        <v>2015.2610441767072</v>
      </c>
      <c r="L82" s="1036">
        <f t="shared" ref="L82:R82" si="13">L81/10</f>
        <v>2184.7676419965583</v>
      </c>
      <c r="M82" s="1036">
        <f t="shared" si="13"/>
        <v>2354.2742398164087</v>
      </c>
      <c r="N82" s="1044">
        <f t="shared" si="13"/>
        <v>2523.78083763626</v>
      </c>
      <c r="O82" s="1036">
        <f t="shared" si="13"/>
        <v>2693.2874354561104</v>
      </c>
      <c r="P82" s="1036">
        <f t="shared" si="13"/>
        <v>2857.1715433161216</v>
      </c>
      <c r="Q82" s="1044">
        <f t="shared" si="13"/>
        <v>3021.0556511761333</v>
      </c>
      <c r="R82" s="1037">
        <f t="shared" si="13"/>
        <v>3184.939759036145</v>
      </c>
      <c r="S82" s="767"/>
      <c r="T82" s="767"/>
      <c r="U82" s="767"/>
      <c r="V82" s="767"/>
      <c r="W82" s="767"/>
      <c r="X82" s="767"/>
      <c r="Y82" s="767"/>
      <c r="Z82" s="767"/>
      <c r="AA82" s="767"/>
      <c r="AB82" s="767"/>
      <c r="AC82" s="767"/>
      <c r="AD82" s="767"/>
      <c r="AE82" s="767"/>
      <c r="AF82" s="767"/>
      <c r="AG82" s="767"/>
      <c r="AH82" s="767"/>
      <c r="AI82" s="767"/>
      <c r="AJ82" s="767"/>
      <c r="AK82" s="767"/>
      <c r="AL82" s="767"/>
      <c r="AM82" s="767"/>
      <c r="AN82" s="767"/>
      <c r="AO82" s="767"/>
      <c r="AP82" s="767"/>
      <c r="AQ82" s="767"/>
      <c r="AR82" s="767"/>
      <c r="AS82" s="767"/>
      <c r="AT82" s="767"/>
      <c r="AU82" s="767"/>
      <c r="AV82" s="767"/>
      <c r="AW82" s="767"/>
      <c r="AX82" s="767"/>
      <c r="AY82" s="767"/>
      <c r="AZ82" s="767"/>
      <c r="BA82" s="767"/>
      <c r="BB82" s="767"/>
      <c r="BC82" s="767"/>
      <c r="BD82" s="767"/>
      <c r="BE82" s="767"/>
      <c r="BF82" s="767"/>
      <c r="BG82" s="767"/>
      <c r="BH82" s="767"/>
      <c r="BI82" s="767"/>
      <c r="BJ82" s="767"/>
      <c r="BK82" s="767"/>
      <c r="BL82" s="767"/>
      <c r="BM82" s="767"/>
      <c r="BN82" s="767"/>
      <c r="BO82" s="767"/>
      <c r="BP82" s="767"/>
      <c r="BQ82" s="767"/>
      <c r="BR82" s="767"/>
      <c r="BS82" s="767"/>
      <c r="BT82" s="767"/>
      <c r="BU82" s="767"/>
      <c r="BV82" s="767"/>
      <c r="BW82" s="767"/>
      <c r="BX82" s="767"/>
      <c r="BY82" s="767"/>
      <c r="BZ82" s="767"/>
      <c r="CA82" s="767"/>
      <c r="CB82" s="767"/>
      <c r="CC82" s="767"/>
      <c r="CD82" s="767"/>
      <c r="CE82" s="767"/>
      <c r="CF82" s="767"/>
      <c r="CG82" s="767"/>
      <c r="CH82" s="767"/>
      <c r="CI82" s="767"/>
      <c r="CJ82" s="767"/>
      <c r="CK82" s="767"/>
      <c r="CL82" s="767"/>
      <c r="CM82" s="767"/>
      <c r="CN82" s="767"/>
      <c r="CO82" s="767"/>
      <c r="CP82" s="767"/>
      <c r="CQ82" s="767"/>
      <c r="CR82" s="767"/>
      <c r="CS82" s="767"/>
      <c r="CT82" s="767"/>
      <c r="CU82" s="767"/>
      <c r="CV82" s="767"/>
      <c r="CW82" s="767"/>
      <c r="CX82" s="767"/>
      <c r="CY82" s="767"/>
      <c r="CZ82" s="767"/>
      <c r="DA82" s="767"/>
      <c r="DB82" s="767"/>
      <c r="DC82" s="767"/>
      <c r="DD82" s="767"/>
      <c r="DE82" s="767"/>
      <c r="DF82" s="767"/>
      <c r="DG82" s="767"/>
      <c r="DH82" s="767"/>
      <c r="DI82" s="767"/>
      <c r="DJ82" s="767"/>
      <c r="DK82" s="767"/>
      <c r="DL82" s="767"/>
      <c r="DM82" s="767"/>
      <c r="DN82" s="767"/>
      <c r="DO82" s="767"/>
      <c r="DP82" s="767"/>
      <c r="DQ82" s="767"/>
      <c r="DR82" s="767"/>
      <c r="DS82" s="767"/>
      <c r="DT82" s="767"/>
      <c r="DU82" s="767"/>
      <c r="DV82" s="767"/>
      <c r="DW82" s="767"/>
      <c r="DX82" s="767"/>
      <c r="DY82" s="767"/>
      <c r="DZ82" s="767"/>
      <c r="EA82" s="767"/>
      <c r="EB82" s="767"/>
      <c r="EC82" s="767"/>
      <c r="ED82" s="767"/>
      <c r="EE82" s="767"/>
      <c r="EF82" s="767"/>
      <c r="EG82" s="767"/>
      <c r="EH82" s="767"/>
      <c r="EI82" s="767"/>
      <c r="EJ82" s="767"/>
      <c r="EK82" s="767"/>
      <c r="EL82" s="767"/>
      <c r="EM82" s="767"/>
      <c r="EN82" s="767"/>
      <c r="EO82" s="767"/>
      <c r="EP82" s="767"/>
      <c r="EQ82" s="767"/>
      <c r="ER82" s="767"/>
      <c r="ES82" s="767"/>
      <c r="ET82" s="767"/>
      <c r="EU82" s="767"/>
      <c r="EV82" s="767"/>
      <c r="EW82" s="767"/>
      <c r="EX82" s="767"/>
      <c r="EY82" s="767"/>
      <c r="EZ82" s="767"/>
      <c r="FA82" s="767"/>
      <c r="FB82" s="767"/>
      <c r="FC82" s="767"/>
      <c r="FD82" s="767"/>
      <c r="FE82" s="767"/>
      <c r="FF82" s="767"/>
      <c r="FG82" s="767"/>
      <c r="FH82" s="767"/>
      <c r="FI82" s="767"/>
      <c r="FJ82" s="767"/>
      <c r="FK82" s="767"/>
      <c r="FL82" s="767"/>
      <c r="FM82" s="767"/>
      <c r="FN82" s="767"/>
      <c r="FO82" s="767"/>
      <c r="FP82" s="767"/>
      <c r="FQ82" s="767"/>
      <c r="FR82" s="767"/>
      <c r="FS82" s="767"/>
      <c r="FT82" s="767"/>
      <c r="FU82" s="767"/>
      <c r="FV82" s="767"/>
      <c r="FW82" s="767"/>
      <c r="FX82" s="767"/>
      <c r="FY82" s="767"/>
      <c r="FZ82" s="767"/>
      <c r="GA82" s="767"/>
      <c r="GB82" s="767"/>
      <c r="GC82" s="767"/>
      <c r="GD82" s="767"/>
      <c r="GE82" s="767"/>
      <c r="GF82" s="767"/>
      <c r="GG82" s="767"/>
      <c r="GH82" s="767"/>
      <c r="GI82" s="767"/>
      <c r="GJ82" s="767"/>
      <c r="GK82" s="767"/>
      <c r="GL82" s="767"/>
      <c r="GM82" s="767"/>
      <c r="GN82" s="767"/>
      <c r="GO82" s="767"/>
      <c r="GP82" s="767"/>
      <c r="GQ82" s="767"/>
      <c r="GR82" s="767"/>
      <c r="GS82" s="767"/>
      <c r="GT82" s="767"/>
      <c r="GU82" s="767"/>
      <c r="GV82" s="767"/>
      <c r="GW82" s="767"/>
    </row>
    <row r="83" spans="1:205" ht="24" customHeight="1" x14ac:dyDescent="0.3">
      <c r="A83" s="2503"/>
      <c r="D83" s="937" t="s">
        <v>496</v>
      </c>
      <c r="E83" s="826" t="s">
        <v>553</v>
      </c>
      <c r="F83" s="940"/>
      <c r="G83"/>
      <c r="H83" s="940"/>
      <c r="I83" s="940"/>
      <c r="J83" s="941"/>
      <c r="K83" s="941"/>
      <c r="L83" s="941"/>
      <c r="M83" s="941"/>
      <c r="N83" s="941"/>
      <c r="O83" s="941"/>
      <c r="P83" s="941"/>
      <c r="Q83" s="941"/>
      <c r="R83" s="740"/>
      <c r="S83" s="740"/>
      <c r="T83" s="740"/>
      <c r="U83" s="740"/>
      <c r="V83" s="740"/>
      <c r="W83" s="740"/>
      <c r="X83" s="740"/>
      <c r="Y83" s="740"/>
      <c r="Z83" s="740"/>
      <c r="AA83" s="740"/>
      <c r="AB83" s="740"/>
      <c r="AC83" s="740"/>
      <c r="AD83" s="740"/>
      <c r="AE83" s="740"/>
      <c r="AF83" s="740"/>
      <c r="AG83" s="740"/>
      <c r="AH83" s="740"/>
      <c r="AI83" s="740"/>
      <c r="AJ83" s="740"/>
      <c r="AK83" s="740"/>
      <c r="AL83" s="740"/>
      <c r="AM83" s="740"/>
      <c r="AN83" s="740"/>
      <c r="AO83" s="740"/>
      <c r="AP83" s="740"/>
      <c r="AQ83" s="740"/>
      <c r="AR83" s="740"/>
      <c r="AS83" s="740"/>
      <c r="AT83" s="740"/>
      <c r="AU83" s="740"/>
      <c r="AV83" s="740"/>
      <c r="AW83" s="740"/>
      <c r="AX83" s="740"/>
      <c r="AY83" s="740"/>
      <c r="AZ83" s="740"/>
      <c r="BA83" s="740"/>
      <c r="BB83" s="740"/>
      <c r="BC83" s="740"/>
      <c r="BD83" s="740"/>
      <c r="BE83" s="740"/>
      <c r="BF83" s="740"/>
      <c r="BG83" s="740"/>
      <c r="BH83" s="740"/>
      <c r="BI83" s="740"/>
      <c r="BJ83" s="740"/>
      <c r="BK83" s="740"/>
      <c r="BL83" s="740"/>
      <c r="BM83" s="740"/>
      <c r="BN83" s="740"/>
      <c r="BO83" s="740"/>
      <c r="BP83" s="740"/>
      <c r="BQ83" s="740"/>
      <c r="BR83" s="740"/>
      <c r="BS83" s="740"/>
      <c r="BT83" s="740"/>
      <c r="BU83" s="740"/>
      <c r="BV83" s="740"/>
      <c r="BW83" s="740"/>
      <c r="BX83" s="740"/>
      <c r="BY83" s="740"/>
      <c r="BZ83" s="740"/>
      <c r="CA83" s="740"/>
      <c r="CB83" s="740"/>
      <c r="CC83" s="740"/>
      <c r="CD83" s="740"/>
      <c r="CE83" s="740"/>
      <c r="CF83" s="740"/>
      <c r="CG83" s="740"/>
      <c r="CH83" s="740"/>
      <c r="CI83" s="740"/>
      <c r="CJ83" s="740"/>
      <c r="CK83" s="740"/>
      <c r="CL83" s="740"/>
      <c r="CM83" s="740"/>
      <c r="CN83" s="740"/>
      <c r="CO83" s="740"/>
      <c r="CP83" s="740"/>
      <c r="CQ83" s="740"/>
      <c r="CR83" s="740"/>
      <c r="CS83" s="740"/>
      <c r="CT83" s="740"/>
      <c r="CU83" s="740"/>
      <c r="CV83" s="740"/>
      <c r="CW83" s="740"/>
      <c r="CX83" s="740"/>
      <c r="CY83" s="740"/>
      <c r="CZ83" s="740"/>
      <c r="DA83" s="740"/>
      <c r="DB83" s="740"/>
      <c r="DC83" s="740"/>
      <c r="DD83" s="740"/>
      <c r="DE83" s="740"/>
      <c r="DF83" s="740"/>
      <c r="DG83" s="740"/>
      <c r="DH83" s="740"/>
      <c r="DI83" s="740"/>
      <c r="DJ83" s="740"/>
      <c r="DK83" s="740"/>
      <c r="DL83" s="740"/>
      <c r="DM83" s="740"/>
      <c r="DN83" s="740"/>
      <c r="DO83" s="740"/>
      <c r="DP83" s="740"/>
      <c r="DQ83" s="740"/>
      <c r="DR83" s="740"/>
      <c r="DS83" s="740"/>
      <c r="DT83" s="740"/>
      <c r="DU83" s="740"/>
      <c r="DV83" s="740"/>
      <c r="DW83" s="740"/>
      <c r="DX83" s="740"/>
      <c r="DY83" s="740"/>
      <c r="DZ83" s="740"/>
      <c r="EA83" s="740"/>
      <c r="EB83" s="740"/>
      <c r="EC83" s="740"/>
      <c r="ED83" s="740"/>
      <c r="EE83" s="740"/>
      <c r="EF83" s="740"/>
      <c r="EG83" s="740"/>
      <c r="EH83" s="740"/>
      <c r="EI83" s="740"/>
      <c r="EJ83" s="740"/>
      <c r="EK83" s="740"/>
      <c r="EL83" s="740"/>
      <c r="EM83" s="740"/>
      <c r="EN83" s="740"/>
      <c r="EO83" s="740"/>
      <c r="EP83" s="740"/>
      <c r="EQ83" s="740"/>
      <c r="ER83" s="740"/>
      <c r="ES83" s="740"/>
      <c r="ET83" s="740"/>
      <c r="EU83" s="740"/>
      <c r="EV83" s="740"/>
      <c r="EW83" s="740"/>
      <c r="EX83" s="740"/>
      <c r="EY83" s="740"/>
      <c r="EZ83" s="740"/>
      <c r="FA83" s="740"/>
      <c r="FB83" s="740"/>
      <c r="FC83" s="740"/>
      <c r="FD83" s="740"/>
      <c r="FE83" s="740"/>
      <c r="FF83" s="740"/>
      <c r="FG83" s="740"/>
      <c r="FH83" s="740"/>
      <c r="FI83" s="740"/>
      <c r="FJ83" s="740"/>
      <c r="FK83" s="740"/>
      <c r="FL83" s="740"/>
      <c r="FM83" s="740"/>
      <c r="FN83" s="740"/>
      <c r="FO83" s="740"/>
      <c r="FP83" s="740"/>
      <c r="FQ83" s="740"/>
      <c r="FR83" s="740"/>
      <c r="FS83" s="740"/>
      <c r="FT83" s="740"/>
      <c r="FU83" s="740"/>
      <c r="FV83" s="740"/>
      <c r="FW83" s="740"/>
      <c r="FX83" s="740"/>
      <c r="FY83" s="740"/>
      <c r="FZ83" s="740"/>
      <c r="GA83" s="740"/>
      <c r="GB83" s="740"/>
      <c r="GC83" s="740"/>
      <c r="GD83" s="740"/>
      <c r="GE83" s="740"/>
      <c r="GF83" s="740"/>
      <c r="GG83" s="740"/>
      <c r="GH83" s="740"/>
      <c r="GI83" s="740"/>
      <c r="GJ83" s="740"/>
      <c r="GK83" s="740"/>
      <c r="GL83" s="740"/>
      <c r="GM83" s="740"/>
      <c r="GN83" s="740"/>
      <c r="GO83" s="740"/>
      <c r="GP83" s="740"/>
      <c r="GQ83" s="740"/>
      <c r="GR83" s="740"/>
      <c r="GS83" s="740"/>
      <c r="GT83" s="740"/>
      <c r="GU83" s="740"/>
      <c r="GV83" s="740"/>
      <c r="GW83" s="740"/>
    </row>
    <row r="84" spans="1:205" ht="24" customHeight="1" x14ac:dyDescent="0.3">
      <c r="A84" s="2503"/>
      <c r="E84" s="940"/>
      <c r="F84" s="940"/>
      <c r="G84"/>
      <c r="H84" s="940"/>
      <c r="I84" s="940"/>
      <c r="J84" s="941"/>
      <c r="K84" s="941"/>
      <c r="L84" s="941"/>
      <c r="M84" s="941"/>
      <c r="N84" s="941"/>
      <c r="O84" s="941"/>
      <c r="P84" s="941"/>
      <c r="Q84" s="941"/>
      <c r="R84" s="740"/>
      <c r="S84" s="740"/>
      <c r="T84" s="740"/>
      <c r="U84" s="740"/>
      <c r="V84" s="740"/>
      <c r="W84" s="740"/>
      <c r="X84" s="740"/>
      <c r="Y84" s="740"/>
      <c r="Z84" s="740"/>
      <c r="AA84" s="740"/>
      <c r="AB84" s="740"/>
      <c r="AC84" s="740"/>
      <c r="AD84" s="740"/>
      <c r="AE84" s="740"/>
      <c r="AF84" s="740"/>
      <c r="AG84" s="740"/>
      <c r="AH84" s="740"/>
      <c r="AI84" s="740"/>
      <c r="AJ84" s="740"/>
      <c r="AK84" s="740"/>
      <c r="AL84" s="740"/>
      <c r="AM84" s="740"/>
      <c r="AN84" s="740"/>
      <c r="AO84" s="740"/>
      <c r="AP84" s="740"/>
      <c r="AQ84" s="740"/>
      <c r="AR84" s="740"/>
      <c r="AS84" s="740"/>
      <c r="AT84" s="740"/>
      <c r="AU84" s="740"/>
      <c r="AV84" s="740"/>
      <c r="AW84" s="740"/>
      <c r="AX84" s="740"/>
      <c r="AY84" s="740"/>
      <c r="AZ84" s="740"/>
      <c r="BA84" s="740"/>
      <c r="BB84" s="740"/>
      <c r="BC84" s="740"/>
      <c r="BD84" s="740"/>
      <c r="BE84" s="740"/>
      <c r="BF84" s="740"/>
      <c r="BG84" s="740"/>
      <c r="BH84" s="740"/>
      <c r="BI84" s="740"/>
      <c r="BJ84" s="740"/>
      <c r="BK84" s="740"/>
      <c r="BL84" s="740"/>
      <c r="BM84" s="740"/>
      <c r="BN84" s="740"/>
      <c r="BO84" s="740"/>
      <c r="BP84" s="740"/>
      <c r="BQ84" s="740"/>
      <c r="BR84" s="740"/>
      <c r="BS84" s="740"/>
      <c r="BT84" s="740"/>
      <c r="BU84" s="740"/>
      <c r="BV84" s="740"/>
      <c r="BW84" s="740"/>
      <c r="BX84" s="740"/>
      <c r="BY84" s="740"/>
      <c r="BZ84" s="740"/>
      <c r="CA84" s="740"/>
      <c r="CB84" s="740"/>
      <c r="CC84" s="740"/>
      <c r="CD84" s="740"/>
      <c r="CE84" s="740"/>
      <c r="CF84" s="740"/>
      <c r="CG84" s="740"/>
      <c r="CH84" s="740"/>
      <c r="CI84" s="740"/>
      <c r="CJ84" s="740"/>
      <c r="CK84" s="740"/>
      <c r="CL84" s="740"/>
      <c r="CM84" s="740"/>
      <c r="CN84" s="740"/>
      <c r="CO84" s="740"/>
      <c r="CP84" s="740"/>
      <c r="CQ84" s="740"/>
      <c r="CR84" s="740"/>
      <c r="CS84" s="740"/>
      <c r="CT84" s="740"/>
      <c r="CU84" s="740"/>
      <c r="CV84" s="740"/>
      <c r="CW84" s="740"/>
      <c r="CX84" s="740"/>
      <c r="CY84" s="740"/>
      <c r="CZ84" s="740"/>
      <c r="DA84" s="740"/>
      <c r="DB84" s="740"/>
      <c r="DC84" s="740"/>
      <c r="DD84" s="740"/>
      <c r="DE84" s="740"/>
      <c r="DF84" s="740"/>
      <c r="DG84" s="740"/>
      <c r="DH84" s="740"/>
      <c r="DI84" s="740"/>
      <c r="DJ84" s="740"/>
      <c r="DK84" s="740"/>
      <c r="DL84" s="740"/>
      <c r="DM84" s="740"/>
      <c r="DN84" s="740"/>
      <c r="DO84" s="740"/>
      <c r="DP84" s="740"/>
      <c r="DQ84" s="740"/>
      <c r="DR84" s="740"/>
      <c r="DS84" s="740"/>
      <c r="DT84" s="740"/>
      <c r="DU84" s="740"/>
      <c r="DV84" s="740"/>
      <c r="DW84" s="740"/>
      <c r="DX84" s="740"/>
      <c r="DY84" s="740"/>
      <c r="DZ84" s="740"/>
      <c r="EA84" s="740"/>
      <c r="EB84" s="740"/>
      <c r="EC84" s="740"/>
      <c r="ED84" s="740"/>
      <c r="EE84" s="740"/>
      <c r="EF84" s="740"/>
      <c r="EG84" s="740"/>
      <c r="EH84" s="740"/>
      <c r="EI84" s="740"/>
      <c r="EJ84" s="740"/>
      <c r="EK84" s="740"/>
      <c r="EL84" s="740"/>
      <c r="EM84" s="740"/>
      <c r="EN84" s="740"/>
      <c r="EO84" s="740"/>
      <c r="EP84" s="740"/>
      <c r="EQ84" s="740"/>
      <c r="ER84" s="740"/>
      <c r="ES84" s="740"/>
      <c r="ET84" s="740"/>
      <c r="EU84" s="740"/>
      <c r="EV84" s="740"/>
      <c r="EW84" s="740"/>
      <c r="EX84" s="740"/>
      <c r="EY84" s="740"/>
      <c r="EZ84" s="740"/>
      <c r="FA84" s="740"/>
      <c r="FB84" s="740"/>
      <c r="FC84" s="740"/>
      <c r="FD84" s="740"/>
      <c r="FE84" s="740"/>
      <c r="FF84" s="740"/>
      <c r="FG84" s="740"/>
      <c r="FH84" s="740"/>
      <c r="FI84" s="740"/>
      <c r="FJ84" s="740"/>
      <c r="FK84" s="740"/>
      <c r="FL84" s="740"/>
      <c r="FM84" s="740"/>
      <c r="FN84" s="740"/>
      <c r="FO84" s="740"/>
      <c r="FP84" s="740"/>
      <c r="FQ84" s="740"/>
      <c r="FR84" s="740"/>
      <c r="FS84" s="740"/>
      <c r="FT84" s="740"/>
      <c r="FU84" s="740"/>
      <c r="FV84" s="740"/>
      <c r="FW84" s="740"/>
      <c r="FX84" s="740"/>
      <c r="FY84" s="740"/>
      <c r="FZ84" s="740"/>
      <c r="GA84" s="740"/>
      <c r="GB84" s="740"/>
      <c r="GC84" s="740"/>
      <c r="GD84" s="740"/>
      <c r="GE84" s="740"/>
      <c r="GF84" s="740"/>
      <c r="GG84" s="740"/>
      <c r="GH84" s="740"/>
      <c r="GI84" s="740"/>
      <c r="GJ84" s="740"/>
      <c r="GK84" s="740"/>
      <c r="GL84" s="740"/>
      <c r="GM84" s="740"/>
      <c r="GN84" s="740"/>
      <c r="GO84" s="740"/>
      <c r="GP84" s="740"/>
      <c r="GQ84" s="740"/>
      <c r="GR84" s="740"/>
      <c r="GS84" s="740"/>
      <c r="GT84" s="740"/>
      <c r="GU84" s="740"/>
      <c r="GV84" s="740"/>
      <c r="GW84" s="740"/>
    </row>
    <row r="85" spans="1:205" ht="24" customHeight="1" x14ac:dyDescent="0.3">
      <c r="A85" s="2503"/>
      <c r="E85" s="940"/>
      <c r="F85" s="940"/>
      <c r="G85"/>
      <c r="H85" s="940"/>
      <c r="I85" s="940"/>
      <c r="J85" s="941"/>
      <c r="K85" s="941"/>
      <c r="L85" s="941"/>
      <c r="M85" s="941"/>
      <c r="N85" s="941"/>
      <c r="O85" s="941"/>
      <c r="P85" s="941"/>
      <c r="Q85" s="941"/>
      <c r="R85" s="740"/>
      <c r="S85" s="740"/>
      <c r="T85" s="740"/>
      <c r="U85" s="740"/>
      <c r="V85" s="740"/>
      <c r="W85" s="740"/>
      <c r="X85" s="740"/>
      <c r="Y85" s="740"/>
      <c r="Z85" s="740"/>
      <c r="AA85" s="740"/>
      <c r="AB85" s="740"/>
      <c r="AC85" s="740"/>
      <c r="AD85" s="740"/>
      <c r="AE85" s="740"/>
      <c r="AF85" s="740"/>
      <c r="AG85" s="740"/>
      <c r="AH85" s="740"/>
      <c r="AI85" s="740"/>
      <c r="AJ85" s="740"/>
      <c r="AK85" s="740"/>
      <c r="AL85" s="740"/>
      <c r="AM85" s="740"/>
      <c r="AN85" s="740"/>
      <c r="AO85" s="740"/>
      <c r="AP85" s="740"/>
      <c r="AQ85" s="740"/>
      <c r="AR85" s="740"/>
      <c r="AS85" s="740"/>
      <c r="AT85" s="740"/>
      <c r="AU85" s="740"/>
      <c r="AV85" s="740"/>
      <c r="AW85" s="740"/>
      <c r="AX85" s="740"/>
      <c r="AY85" s="740"/>
      <c r="AZ85" s="740"/>
      <c r="BA85" s="740"/>
      <c r="BB85" s="740"/>
      <c r="BC85" s="740"/>
      <c r="BD85" s="740"/>
      <c r="BE85" s="740"/>
      <c r="BF85" s="740"/>
      <c r="BG85" s="740"/>
      <c r="BH85" s="740"/>
      <c r="BI85" s="740"/>
      <c r="BJ85" s="740"/>
      <c r="BK85" s="740"/>
      <c r="BL85" s="740"/>
      <c r="BM85" s="740"/>
      <c r="BN85" s="740"/>
      <c r="BO85" s="740"/>
      <c r="BP85" s="740"/>
      <c r="BQ85" s="740"/>
      <c r="BR85" s="740"/>
      <c r="BS85" s="740"/>
      <c r="BT85" s="740"/>
      <c r="BU85" s="740"/>
      <c r="BV85" s="740"/>
      <c r="BW85" s="740"/>
      <c r="BX85" s="740"/>
      <c r="BY85" s="740"/>
      <c r="BZ85" s="740"/>
      <c r="CA85" s="740"/>
      <c r="CB85" s="740"/>
      <c r="CC85" s="740"/>
      <c r="CD85" s="740"/>
      <c r="CE85" s="740"/>
      <c r="CF85" s="740"/>
      <c r="CG85" s="740"/>
      <c r="CH85" s="740"/>
      <c r="CI85" s="740"/>
      <c r="CJ85" s="740"/>
      <c r="CK85" s="740"/>
      <c r="CL85" s="740"/>
      <c r="CM85" s="740"/>
      <c r="CN85" s="740"/>
      <c r="CO85" s="740"/>
      <c r="CP85" s="740"/>
      <c r="CQ85" s="740"/>
      <c r="CR85" s="740"/>
      <c r="CS85" s="740"/>
      <c r="CT85" s="740"/>
      <c r="CU85" s="740"/>
      <c r="CV85" s="740"/>
      <c r="CW85" s="740"/>
      <c r="CX85" s="740"/>
      <c r="CY85" s="740"/>
      <c r="CZ85" s="740"/>
      <c r="DA85" s="740"/>
      <c r="DB85" s="740"/>
      <c r="DC85" s="740"/>
      <c r="DD85" s="740"/>
      <c r="DE85" s="740"/>
      <c r="DF85" s="740"/>
      <c r="DG85" s="740"/>
      <c r="DH85" s="740"/>
      <c r="DI85" s="740"/>
      <c r="DJ85" s="740"/>
      <c r="DK85" s="740"/>
      <c r="DL85" s="740"/>
      <c r="DM85" s="740"/>
      <c r="DN85" s="740"/>
      <c r="DO85" s="740"/>
      <c r="DP85" s="740"/>
      <c r="DQ85" s="740"/>
      <c r="DR85" s="740"/>
      <c r="DS85" s="740"/>
      <c r="DT85" s="740"/>
      <c r="DU85" s="740"/>
      <c r="DV85" s="740"/>
      <c r="DW85" s="740"/>
      <c r="DX85" s="740"/>
      <c r="DY85" s="740"/>
      <c r="DZ85" s="740"/>
      <c r="EA85" s="740"/>
      <c r="EB85" s="740"/>
      <c r="EC85" s="740"/>
      <c r="ED85" s="740"/>
      <c r="EE85" s="740"/>
      <c r="EF85" s="740"/>
      <c r="EG85" s="740"/>
      <c r="EH85" s="740"/>
      <c r="EI85" s="740"/>
      <c r="EJ85" s="740"/>
      <c r="EK85" s="740"/>
      <c r="EL85" s="740"/>
      <c r="EM85" s="740"/>
      <c r="EN85" s="740"/>
      <c r="EO85" s="740"/>
      <c r="EP85" s="740"/>
      <c r="EQ85" s="740"/>
      <c r="ER85" s="740"/>
      <c r="ES85" s="740"/>
      <c r="ET85" s="740"/>
      <c r="EU85" s="740"/>
      <c r="EV85" s="740"/>
      <c r="EW85" s="740"/>
      <c r="EX85" s="740"/>
      <c r="EY85" s="740"/>
      <c r="EZ85" s="740"/>
      <c r="FA85" s="740"/>
      <c r="FB85" s="740"/>
      <c r="FC85" s="740"/>
      <c r="FD85" s="740"/>
      <c r="FE85" s="740"/>
      <c r="FF85" s="740"/>
      <c r="FG85" s="740"/>
      <c r="FH85" s="740"/>
      <c r="FI85" s="740"/>
      <c r="FJ85" s="740"/>
      <c r="FK85" s="740"/>
      <c r="FL85" s="740"/>
      <c r="FM85" s="740"/>
      <c r="FN85" s="740"/>
      <c r="FO85" s="740"/>
      <c r="FP85" s="740"/>
      <c r="FQ85" s="740"/>
      <c r="FR85" s="740"/>
      <c r="FS85" s="740"/>
      <c r="FT85" s="740"/>
      <c r="FU85" s="740"/>
      <c r="FV85" s="740"/>
      <c r="FW85" s="740"/>
      <c r="FX85" s="740"/>
      <c r="FY85" s="740"/>
      <c r="FZ85" s="740"/>
      <c r="GA85" s="740"/>
      <c r="GB85" s="740"/>
      <c r="GC85" s="740"/>
      <c r="GD85" s="740"/>
      <c r="GE85" s="740"/>
      <c r="GF85" s="740"/>
      <c r="GG85" s="740"/>
      <c r="GH85" s="740"/>
      <c r="GI85" s="740"/>
      <c r="GJ85" s="740"/>
      <c r="GK85" s="740"/>
      <c r="GL85" s="740"/>
      <c r="GM85" s="740"/>
      <c r="GN85" s="740"/>
      <c r="GO85" s="740"/>
      <c r="GP85" s="740"/>
      <c r="GQ85" s="740"/>
      <c r="GR85" s="740"/>
      <c r="GS85" s="740"/>
      <c r="GT85" s="740"/>
      <c r="GU85" s="740"/>
      <c r="GV85" s="740"/>
      <c r="GW85" s="740"/>
    </row>
    <row r="86" spans="1:205" ht="24" customHeight="1" thickBot="1" x14ac:dyDescent="0.25">
      <c r="A86" s="2503"/>
      <c r="D86" s="1339" t="s">
        <v>496</v>
      </c>
      <c r="E86" s="1337" t="s">
        <v>552</v>
      </c>
      <c r="F86" s="982"/>
      <c r="G86" s="982"/>
      <c r="H86" s="982"/>
      <c r="I86" s="984"/>
      <c r="J86" s="982"/>
      <c r="K86" s="983"/>
      <c r="L86" s="982"/>
      <c r="M86" s="983"/>
      <c r="N86" s="982"/>
      <c r="O86" s="983"/>
      <c r="P86" s="982"/>
      <c r="Q86" s="983"/>
      <c r="R86" s="1052"/>
      <c r="S86" s="1052"/>
      <c r="T86" s="1052"/>
      <c r="U86" s="1052"/>
      <c r="V86" s="1052"/>
      <c r="W86" s="1052"/>
      <c r="X86" s="1052"/>
      <c r="Y86" s="1052"/>
      <c r="Z86" s="1052"/>
      <c r="AA86" s="740"/>
      <c r="AB86" s="740"/>
      <c r="AC86" s="740"/>
      <c r="AD86" s="740"/>
      <c r="AE86" s="740"/>
      <c r="AF86" s="740"/>
      <c r="AG86" s="740"/>
      <c r="AH86" s="740"/>
      <c r="AI86" s="740"/>
      <c r="AJ86" s="740"/>
      <c r="AK86" s="740"/>
      <c r="AL86" s="740"/>
      <c r="AM86" s="740"/>
      <c r="AN86" s="740"/>
      <c r="AO86" s="740"/>
      <c r="AP86" s="740"/>
      <c r="AQ86" s="740"/>
      <c r="AR86" s="740"/>
      <c r="AS86" s="740"/>
      <c r="AT86" s="740"/>
      <c r="AU86" s="740"/>
      <c r="AV86" s="740"/>
      <c r="AW86" s="740"/>
      <c r="AX86" s="740"/>
      <c r="AY86" s="740"/>
      <c r="AZ86" s="740"/>
      <c r="BA86" s="740"/>
      <c r="BB86" s="740"/>
      <c r="BC86" s="740"/>
      <c r="BD86" s="740"/>
      <c r="BE86" s="740"/>
      <c r="BF86" s="740"/>
      <c r="BG86" s="740"/>
      <c r="BH86" s="740"/>
      <c r="BI86" s="740"/>
      <c r="BJ86" s="740"/>
      <c r="BK86" s="740"/>
      <c r="BL86" s="740"/>
      <c r="BM86" s="740"/>
      <c r="BN86" s="740"/>
      <c r="BO86" s="740"/>
      <c r="BP86" s="740"/>
      <c r="BQ86" s="740"/>
      <c r="BR86" s="740"/>
      <c r="BS86" s="740"/>
      <c r="BT86" s="740"/>
      <c r="BU86" s="740"/>
      <c r="BV86" s="740"/>
      <c r="BW86" s="740"/>
      <c r="BX86" s="740"/>
      <c r="BY86" s="740"/>
      <c r="BZ86" s="740"/>
      <c r="CA86" s="740"/>
      <c r="CB86" s="740"/>
      <c r="CC86" s="740"/>
      <c r="CD86" s="740"/>
      <c r="CE86" s="740"/>
      <c r="CF86" s="740"/>
      <c r="CG86" s="740"/>
      <c r="CH86" s="740"/>
      <c r="CI86" s="740"/>
      <c r="CJ86" s="740"/>
      <c r="CK86" s="740"/>
      <c r="CL86" s="740"/>
      <c r="CM86" s="740"/>
      <c r="CN86" s="740"/>
      <c r="CO86" s="740"/>
      <c r="CP86" s="740"/>
      <c r="CQ86" s="740"/>
      <c r="CR86" s="740"/>
      <c r="CS86" s="740"/>
      <c r="CT86" s="740"/>
      <c r="CU86" s="740"/>
      <c r="CV86" s="740"/>
      <c r="CW86" s="740"/>
      <c r="CX86" s="740"/>
      <c r="CY86" s="740"/>
      <c r="CZ86" s="740"/>
      <c r="DA86" s="740"/>
      <c r="DB86" s="740"/>
      <c r="DC86" s="740"/>
      <c r="DD86" s="740"/>
      <c r="DE86" s="740"/>
      <c r="DF86" s="740"/>
      <c r="DG86" s="740"/>
      <c r="DH86" s="740"/>
      <c r="DI86" s="740"/>
      <c r="DJ86" s="740"/>
      <c r="DK86" s="740"/>
      <c r="DL86" s="740"/>
      <c r="DM86" s="740"/>
      <c r="DN86" s="740"/>
      <c r="DO86" s="740"/>
      <c r="DP86" s="740"/>
      <c r="DQ86" s="740"/>
      <c r="DR86" s="740"/>
      <c r="DS86" s="740"/>
      <c r="DT86" s="740"/>
      <c r="DU86" s="740"/>
      <c r="DV86" s="740"/>
      <c r="DW86" s="740"/>
      <c r="DX86" s="740"/>
      <c r="DY86" s="740"/>
      <c r="DZ86" s="740"/>
      <c r="EA86" s="740"/>
      <c r="EB86" s="740"/>
      <c r="EC86" s="740"/>
      <c r="ED86" s="740"/>
      <c r="EE86" s="740"/>
      <c r="EF86" s="740"/>
      <c r="EG86" s="740"/>
      <c r="EH86" s="740"/>
      <c r="EI86" s="740"/>
      <c r="EJ86" s="740"/>
      <c r="EK86" s="740"/>
      <c r="EL86" s="740"/>
      <c r="EM86" s="740"/>
      <c r="EN86" s="740"/>
      <c r="EO86" s="740"/>
      <c r="EP86" s="740"/>
      <c r="EQ86" s="740"/>
      <c r="ER86" s="740"/>
      <c r="ES86" s="740"/>
      <c r="ET86" s="740"/>
      <c r="EU86" s="740"/>
      <c r="EV86" s="740"/>
      <c r="EW86" s="740"/>
      <c r="EX86" s="740"/>
      <c r="EY86" s="740"/>
      <c r="EZ86" s="740"/>
      <c r="FA86" s="740"/>
      <c r="FB86" s="740"/>
      <c r="FC86" s="740"/>
      <c r="FD86" s="740"/>
      <c r="FE86" s="740"/>
      <c r="FF86" s="740"/>
      <c r="FG86" s="740"/>
      <c r="FH86" s="740"/>
      <c r="FI86" s="740"/>
      <c r="FJ86" s="740"/>
      <c r="FK86" s="740"/>
      <c r="FL86" s="740"/>
      <c r="FM86" s="740"/>
      <c r="FN86" s="740"/>
      <c r="FO86" s="740"/>
      <c r="FP86" s="740"/>
      <c r="FQ86" s="740"/>
      <c r="FR86" s="740"/>
      <c r="FS86" s="740"/>
      <c r="FT86" s="740"/>
      <c r="FU86" s="740"/>
      <c r="FV86" s="740"/>
      <c r="FW86" s="740"/>
      <c r="FX86" s="740"/>
      <c r="FY86" s="740"/>
      <c r="FZ86" s="740"/>
      <c r="GA86" s="740"/>
      <c r="GB86" s="740"/>
      <c r="GC86" s="740"/>
      <c r="GD86" s="740"/>
      <c r="GE86" s="740"/>
      <c r="GF86" s="740"/>
      <c r="GG86" s="740"/>
      <c r="GH86" s="740"/>
      <c r="GI86" s="740"/>
      <c r="GJ86" s="740"/>
      <c r="GK86" s="740"/>
      <c r="GL86" s="740"/>
      <c r="GM86" s="740"/>
      <c r="GN86" s="740"/>
      <c r="GO86" s="740"/>
      <c r="GP86" s="740"/>
      <c r="GQ86" s="740"/>
      <c r="GR86" s="740"/>
      <c r="GS86" s="740"/>
      <c r="GT86" s="740"/>
      <c r="GU86" s="740"/>
      <c r="GV86" s="740"/>
      <c r="GW86" s="740"/>
    </row>
    <row r="87" spans="1:205" ht="24" customHeight="1" x14ac:dyDescent="0.4">
      <c r="A87" s="2503"/>
      <c r="D87" s="1338" t="s">
        <v>551</v>
      </c>
      <c r="E87" s="1157" t="s">
        <v>545</v>
      </c>
      <c r="F87" s="1134"/>
      <c r="G87" s="1134"/>
      <c r="H87" s="1134"/>
      <c r="I87" s="1135"/>
      <c r="J87" s="1134"/>
      <c r="K87" s="1158"/>
      <c r="L87" s="1134"/>
      <c r="M87" s="1158"/>
      <c r="N87" s="1134"/>
      <c r="O87" s="1158"/>
      <c r="P87" s="1159"/>
      <c r="Q87" s="983"/>
      <c r="R87" s="1052"/>
      <c r="S87" s="1052"/>
      <c r="T87" s="1052"/>
      <c r="U87" s="1052"/>
      <c r="V87" s="1052"/>
      <c r="W87" s="1052"/>
      <c r="X87" s="1052"/>
      <c r="Y87" s="1052"/>
      <c r="Z87" s="1052"/>
      <c r="AA87" s="740"/>
      <c r="AB87" s="740"/>
      <c r="AC87" s="740"/>
      <c r="AD87" s="740"/>
      <c r="AE87" s="740"/>
      <c r="AF87" s="740"/>
      <c r="AG87" s="740"/>
      <c r="AH87" s="740"/>
      <c r="AI87" s="740"/>
      <c r="AJ87" s="740"/>
      <c r="AK87" s="740"/>
      <c r="AL87" s="740"/>
      <c r="AM87" s="740"/>
      <c r="AN87" s="740"/>
      <c r="AO87" s="740"/>
      <c r="AP87" s="740"/>
      <c r="AQ87" s="740"/>
      <c r="AR87" s="740"/>
      <c r="AS87" s="740"/>
      <c r="AT87" s="740"/>
      <c r="AU87" s="740"/>
      <c r="AV87" s="740"/>
      <c r="AW87" s="740"/>
      <c r="AX87" s="740"/>
      <c r="AY87" s="740"/>
      <c r="AZ87" s="740"/>
      <c r="BA87" s="740"/>
      <c r="BB87" s="740"/>
      <c r="BC87" s="740"/>
      <c r="BD87" s="740"/>
      <c r="BE87" s="740"/>
      <c r="BF87" s="740"/>
      <c r="BG87" s="740"/>
      <c r="BH87" s="740"/>
      <c r="BI87" s="740"/>
      <c r="BJ87" s="740"/>
      <c r="BK87" s="740"/>
      <c r="BL87" s="740"/>
      <c r="BM87" s="740"/>
      <c r="BN87" s="740"/>
      <c r="BO87" s="740"/>
      <c r="BP87" s="740"/>
      <c r="BQ87" s="740"/>
      <c r="BR87" s="740"/>
      <c r="BS87" s="740"/>
      <c r="BT87" s="740"/>
      <c r="BU87" s="740"/>
      <c r="BV87" s="740"/>
      <c r="BW87" s="740"/>
      <c r="BX87" s="740"/>
      <c r="BY87" s="740"/>
      <c r="BZ87" s="740"/>
      <c r="CA87" s="740"/>
      <c r="CB87" s="740"/>
      <c r="CC87" s="740"/>
      <c r="CD87" s="740"/>
      <c r="CE87" s="740"/>
      <c r="CF87" s="740"/>
      <c r="CG87" s="740"/>
      <c r="CH87" s="740"/>
      <c r="CI87" s="740"/>
      <c r="CJ87" s="740"/>
      <c r="CK87" s="740"/>
      <c r="CL87" s="740"/>
      <c r="CM87" s="740"/>
      <c r="CN87" s="740"/>
      <c r="CO87" s="740"/>
      <c r="CP87" s="740"/>
      <c r="CQ87" s="740"/>
      <c r="CR87" s="740"/>
      <c r="CS87" s="740"/>
      <c r="CT87" s="740"/>
      <c r="CU87" s="740"/>
      <c r="CV87" s="740"/>
      <c r="CW87" s="740"/>
      <c r="CX87" s="740"/>
      <c r="CY87" s="740"/>
      <c r="CZ87" s="740"/>
      <c r="DA87" s="740"/>
      <c r="DB87" s="740"/>
      <c r="DC87" s="740"/>
      <c r="DD87" s="740"/>
      <c r="DE87" s="740"/>
      <c r="DF87" s="740"/>
      <c r="DG87" s="740"/>
      <c r="DH87" s="740"/>
      <c r="DI87" s="740"/>
      <c r="DJ87" s="740"/>
      <c r="DK87" s="740"/>
      <c r="DL87" s="740"/>
      <c r="DM87" s="740"/>
      <c r="DN87" s="740"/>
      <c r="DO87" s="740"/>
      <c r="DP87" s="740"/>
      <c r="DQ87" s="740"/>
      <c r="DR87" s="740"/>
      <c r="DS87" s="740"/>
      <c r="DT87" s="740"/>
      <c r="DU87" s="740"/>
      <c r="DV87" s="740"/>
      <c r="DW87" s="740"/>
      <c r="DX87" s="740"/>
      <c r="DY87" s="740"/>
      <c r="DZ87" s="740"/>
      <c r="EA87" s="740"/>
      <c r="EB87" s="740"/>
      <c r="EC87" s="740"/>
      <c r="ED87" s="740"/>
      <c r="EE87" s="740"/>
      <c r="EF87" s="740"/>
      <c r="EG87" s="740"/>
      <c r="EH87" s="740"/>
      <c r="EI87" s="740"/>
      <c r="EJ87" s="740"/>
      <c r="EK87" s="740"/>
      <c r="EL87" s="740"/>
      <c r="EM87" s="740"/>
      <c r="EN87" s="740"/>
      <c r="EO87" s="740"/>
      <c r="EP87" s="740"/>
      <c r="EQ87" s="740"/>
      <c r="ER87" s="740"/>
      <c r="ES87" s="740"/>
      <c r="ET87" s="740"/>
      <c r="EU87" s="740"/>
      <c r="EV87" s="740"/>
      <c r="EW87" s="740"/>
      <c r="EX87" s="740"/>
      <c r="EY87" s="740"/>
      <c r="EZ87" s="740"/>
      <c r="FA87" s="740"/>
      <c r="FB87" s="740"/>
      <c r="FC87" s="740"/>
      <c r="FD87" s="740"/>
      <c r="FE87" s="740"/>
      <c r="FF87" s="740"/>
      <c r="FG87" s="740"/>
      <c r="FH87" s="740"/>
      <c r="FI87" s="740"/>
      <c r="FJ87" s="740"/>
      <c r="FK87" s="740"/>
      <c r="FL87" s="740"/>
      <c r="FM87" s="740"/>
      <c r="FN87" s="740"/>
      <c r="FO87" s="740"/>
      <c r="FP87" s="740"/>
      <c r="FQ87" s="740"/>
      <c r="FR87" s="740"/>
      <c r="FS87" s="740"/>
      <c r="FT87" s="740"/>
      <c r="FU87" s="740"/>
      <c r="FV87" s="740"/>
      <c r="FW87" s="740"/>
      <c r="FX87" s="740"/>
      <c r="FY87" s="740"/>
      <c r="FZ87" s="740"/>
      <c r="GA87" s="740"/>
      <c r="GB87" s="740"/>
      <c r="GC87" s="740"/>
      <c r="GD87" s="740"/>
      <c r="GE87" s="740"/>
      <c r="GF87" s="740"/>
      <c r="GG87" s="740"/>
      <c r="GH87" s="740"/>
      <c r="GI87" s="740"/>
      <c r="GJ87" s="740"/>
      <c r="GK87" s="740"/>
      <c r="GL87" s="740"/>
      <c r="GM87" s="740"/>
      <c r="GN87" s="740"/>
      <c r="GO87" s="740"/>
      <c r="GP87" s="740"/>
      <c r="GQ87" s="740"/>
      <c r="GR87" s="740"/>
      <c r="GS87" s="740"/>
      <c r="GT87" s="740"/>
      <c r="GU87" s="740"/>
      <c r="GV87" s="740"/>
      <c r="GW87" s="740"/>
    </row>
    <row r="88" spans="1:205" ht="20.100000000000001" customHeight="1" x14ac:dyDescent="0.2">
      <c r="A88" s="2503"/>
      <c r="D88" s="982"/>
      <c r="E88" s="1160" t="s">
        <v>1589</v>
      </c>
      <c r="F88" s="982"/>
      <c r="G88" s="982"/>
      <c r="H88" s="982"/>
      <c r="I88" s="984"/>
      <c r="J88" s="982"/>
      <c r="K88" s="983"/>
      <c r="L88" s="982"/>
      <c r="M88" s="983"/>
      <c r="N88" s="982"/>
      <c r="O88" s="1066"/>
      <c r="P88" s="1161"/>
      <c r="Q88" s="1053"/>
      <c r="R88" s="1052"/>
      <c r="S88" s="1052"/>
      <c r="T88" s="1052"/>
      <c r="U88" s="1052"/>
      <c r="V88" s="1052"/>
      <c r="W88" s="1052"/>
      <c r="X88" s="1052"/>
      <c r="Y88" s="1052"/>
      <c r="Z88" s="1052"/>
      <c r="AA88" s="740"/>
      <c r="AB88" s="740"/>
      <c r="AC88" s="740"/>
      <c r="AD88" s="740"/>
      <c r="AE88" s="740"/>
      <c r="AF88" s="740"/>
      <c r="AG88" s="740"/>
      <c r="AH88" s="740"/>
      <c r="AI88" s="740"/>
      <c r="AJ88" s="740"/>
      <c r="AK88" s="740"/>
      <c r="AL88" s="740"/>
      <c r="AM88" s="740"/>
      <c r="AN88" s="740"/>
      <c r="AO88" s="740"/>
      <c r="AP88" s="740"/>
      <c r="AQ88" s="740"/>
      <c r="AR88" s="740"/>
      <c r="AS88" s="740"/>
      <c r="AT88" s="740"/>
      <c r="AU88" s="740"/>
      <c r="AV88" s="740"/>
      <c r="AW88" s="740"/>
      <c r="AX88" s="740"/>
      <c r="AY88" s="740"/>
      <c r="AZ88" s="740"/>
      <c r="BA88" s="740"/>
      <c r="BB88" s="740"/>
      <c r="BC88" s="740"/>
      <c r="BD88" s="740"/>
      <c r="BE88" s="740"/>
      <c r="BF88" s="740"/>
      <c r="BG88" s="740"/>
      <c r="BH88" s="740"/>
      <c r="BI88" s="740"/>
      <c r="BJ88" s="740"/>
      <c r="BK88" s="740"/>
      <c r="BL88" s="740"/>
      <c r="BM88" s="740"/>
      <c r="BN88" s="740"/>
      <c r="BO88" s="740"/>
      <c r="BP88" s="740"/>
      <c r="BQ88" s="740"/>
      <c r="BR88" s="740"/>
      <c r="BS88" s="740"/>
      <c r="BT88" s="740"/>
      <c r="BU88" s="740"/>
      <c r="BV88" s="740"/>
      <c r="BW88" s="740"/>
      <c r="BX88" s="740"/>
      <c r="BY88" s="740"/>
      <c r="BZ88" s="740"/>
      <c r="CA88" s="740"/>
      <c r="CB88" s="740"/>
      <c r="CC88" s="740"/>
      <c r="CD88" s="740"/>
      <c r="CE88" s="740"/>
      <c r="CF88" s="740"/>
      <c r="CG88" s="740"/>
      <c r="CH88" s="740"/>
      <c r="CI88" s="740"/>
      <c r="CJ88" s="740"/>
      <c r="CK88" s="740"/>
      <c r="CL88" s="740"/>
      <c r="CM88" s="740"/>
      <c r="CN88" s="740"/>
      <c r="CO88" s="740"/>
      <c r="CP88" s="740"/>
      <c r="CQ88" s="740"/>
      <c r="CR88" s="740"/>
      <c r="CS88" s="740"/>
      <c r="CT88" s="740"/>
      <c r="CU88" s="740"/>
      <c r="CV88" s="740"/>
      <c r="CW88" s="740"/>
      <c r="CX88" s="740"/>
      <c r="CY88" s="740"/>
      <c r="CZ88" s="740"/>
      <c r="DA88" s="740"/>
      <c r="DB88" s="740"/>
      <c r="DC88" s="740"/>
      <c r="DD88" s="740"/>
      <c r="DE88" s="740"/>
      <c r="DF88" s="740"/>
      <c r="DG88" s="740"/>
      <c r="DH88" s="740"/>
      <c r="DI88" s="740"/>
      <c r="DJ88" s="740"/>
      <c r="DK88" s="740"/>
      <c r="DL88" s="740"/>
      <c r="DM88" s="740"/>
      <c r="DN88" s="740"/>
      <c r="DO88" s="740"/>
      <c r="DP88" s="740"/>
      <c r="DQ88" s="740"/>
      <c r="DR88" s="740"/>
      <c r="DS88" s="740"/>
      <c r="DT88" s="740"/>
      <c r="DU88" s="740"/>
      <c r="DV88" s="740"/>
      <c r="DW88" s="740"/>
      <c r="DX88" s="740"/>
      <c r="DY88" s="740"/>
      <c r="DZ88" s="740"/>
      <c r="EA88" s="740"/>
      <c r="EB88" s="740"/>
      <c r="EC88" s="740"/>
      <c r="ED88" s="740"/>
      <c r="EE88" s="740"/>
      <c r="EF88" s="740"/>
      <c r="EG88" s="740"/>
      <c r="EH88" s="740"/>
      <c r="EI88" s="740"/>
      <c r="EJ88" s="740"/>
      <c r="EK88" s="740"/>
      <c r="EL88" s="740"/>
      <c r="EM88" s="740"/>
      <c r="EN88" s="740"/>
      <c r="EO88" s="740"/>
      <c r="EP88" s="740"/>
      <c r="EQ88" s="740"/>
      <c r="ER88" s="740"/>
      <c r="ES88" s="740"/>
      <c r="ET88" s="740"/>
      <c r="EU88" s="740"/>
      <c r="EV88" s="740"/>
      <c r="EW88" s="740"/>
      <c r="EX88" s="740"/>
      <c r="EY88" s="740"/>
      <c r="EZ88" s="740"/>
      <c r="FA88" s="740"/>
      <c r="FB88" s="740"/>
      <c r="FC88" s="740"/>
      <c r="FD88" s="740"/>
      <c r="FE88" s="740"/>
      <c r="FF88" s="740"/>
      <c r="FG88" s="740"/>
      <c r="FH88" s="740"/>
      <c r="FI88" s="740"/>
      <c r="FJ88" s="740"/>
      <c r="FK88" s="740"/>
      <c r="FL88" s="740"/>
      <c r="FM88" s="740"/>
      <c r="FN88" s="740"/>
      <c r="FO88" s="740"/>
      <c r="FP88" s="740"/>
      <c r="FQ88" s="740"/>
      <c r="FR88" s="740"/>
      <c r="FS88" s="740"/>
      <c r="FT88" s="740"/>
      <c r="FU88" s="740"/>
      <c r="FV88" s="740"/>
      <c r="FW88" s="740"/>
      <c r="FX88" s="740"/>
      <c r="FY88" s="740"/>
      <c r="FZ88" s="740"/>
      <c r="GA88" s="740"/>
      <c r="GB88" s="740"/>
      <c r="GC88" s="740"/>
      <c r="GD88" s="740"/>
      <c r="GE88" s="740"/>
      <c r="GF88" s="740"/>
      <c r="GG88" s="740"/>
      <c r="GH88" s="740"/>
      <c r="GI88" s="740"/>
      <c r="GJ88" s="740"/>
      <c r="GK88" s="740"/>
      <c r="GL88" s="740"/>
      <c r="GM88" s="740"/>
      <c r="GN88" s="740"/>
      <c r="GO88" s="740"/>
      <c r="GP88" s="740"/>
      <c r="GQ88" s="740"/>
      <c r="GR88" s="740"/>
      <c r="GS88" s="740"/>
      <c r="GT88" s="740"/>
      <c r="GU88" s="740"/>
      <c r="GV88" s="740"/>
      <c r="GW88" s="740"/>
    </row>
    <row r="89" spans="1:205" ht="20.100000000000001" customHeight="1" x14ac:dyDescent="0.2">
      <c r="A89" s="2503"/>
      <c r="D89" s="982"/>
      <c r="E89" s="1137" t="s">
        <v>1590</v>
      </c>
      <c r="F89" s="982"/>
      <c r="G89" s="982"/>
      <c r="H89" s="982"/>
      <c r="I89" s="984"/>
      <c r="J89" s="982"/>
      <c r="K89" s="983"/>
      <c r="L89" s="982"/>
      <c r="M89" s="1127">
        <v>110</v>
      </c>
      <c r="N89" s="982" t="s">
        <v>537</v>
      </c>
      <c r="O89" s="1067">
        <f>M89/30.42</f>
        <v>3.6160420775805391</v>
      </c>
      <c r="P89" s="1162" t="s">
        <v>238</v>
      </c>
      <c r="Q89" s="983"/>
      <c r="R89" s="1052"/>
      <c r="S89" s="1052"/>
      <c r="T89" s="1052"/>
      <c r="U89" s="1052"/>
      <c r="V89" s="1052"/>
      <c r="W89" s="1052"/>
      <c r="X89" s="1052"/>
      <c r="Y89" s="1052"/>
      <c r="Z89" s="1052"/>
      <c r="AA89" s="740"/>
      <c r="AB89" s="740"/>
      <c r="AC89" s="740"/>
      <c r="AD89" s="740"/>
      <c r="AE89" s="740"/>
      <c r="AF89" s="740"/>
      <c r="AG89" s="740"/>
      <c r="AH89" s="740"/>
      <c r="AI89" s="740"/>
      <c r="AJ89" s="740"/>
      <c r="AK89" s="740"/>
      <c r="AL89" s="740"/>
      <c r="AM89" s="740"/>
      <c r="AN89" s="740"/>
      <c r="AO89" s="740"/>
      <c r="AP89" s="740"/>
      <c r="AQ89" s="740"/>
      <c r="AR89" s="740"/>
      <c r="AS89" s="740"/>
      <c r="AT89" s="740"/>
      <c r="AU89" s="740"/>
      <c r="AV89" s="740"/>
      <c r="AW89" s="740"/>
      <c r="AX89" s="740"/>
      <c r="AY89" s="740"/>
      <c r="AZ89" s="740"/>
      <c r="BA89" s="740"/>
      <c r="BB89" s="740"/>
      <c r="BC89" s="740"/>
      <c r="BD89" s="740"/>
      <c r="BE89" s="740"/>
      <c r="BF89" s="740"/>
      <c r="BG89" s="740"/>
      <c r="BH89" s="740"/>
      <c r="BI89" s="740"/>
      <c r="BJ89" s="740"/>
      <c r="BK89" s="740"/>
      <c r="BL89" s="740"/>
      <c r="BM89" s="740"/>
      <c r="BN89" s="740"/>
      <c r="BO89" s="740"/>
      <c r="BP89" s="740"/>
      <c r="BQ89" s="740"/>
      <c r="BR89" s="740"/>
      <c r="BS89" s="740"/>
      <c r="BT89" s="740"/>
      <c r="BU89" s="740"/>
      <c r="BV89" s="740"/>
      <c r="BW89" s="740"/>
      <c r="BX89" s="740"/>
      <c r="BY89" s="740"/>
      <c r="BZ89" s="740"/>
      <c r="CA89" s="740"/>
      <c r="CB89" s="740"/>
      <c r="CC89" s="740"/>
      <c r="CD89" s="740"/>
      <c r="CE89" s="740"/>
      <c r="CF89" s="740"/>
      <c r="CG89" s="740"/>
      <c r="CH89" s="740"/>
      <c r="CI89" s="740"/>
      <c r="CJ89" s="740"/>
      <c r="CK89" s="740"/>
      <c r="CL89" s="740"/>
      <c r="CM89" s="740"/>
      <c r="CN89" s="740"/>
      <c r="CO89" s="740"/>
      <c r="CP89" s="740"/>
      <c r="CQ89" s="740"/>
      <c r="CR89" s="740"/>
      <c r="CS89" s="740"/>
      <c r="CT89" s="740"/>
      <c r="CU89" s="740"/>
      <c r="CV89" s="740"/>
      <c r="CW89" s="740"/>
      <c r="CX89" s="740"/>
      <c r="CY89" s="740"/>
      <c r="CZ89" s="740"/>
      <c r="DA89" s="740"/>
      <c r="DB89" s="740"/>
      <c r="DC89" s="740"/>
      <c r="DD89" s="740"/>
      <c r="DE89" s="740"/>
      <c r="DF89" s="740"/>
      <c r="DG89" s="740"/>
      <c r="DH89" s="740"/>
      <c r="DI89" s="740"/>
      <c r="DJ89" s="740"/>
      <c r="DK89" s="740"/>
      <c r="DL89" s="740"/>
      <c r="DM89" s="740"/>
      <c r="DN89" s="740"/>
      <c r="DO89" s="740"/>
      <c r="DP89" s="740"/>
      <c r="DQ89" s="740"/>
      <c r="DR89" s="740"/>
      <c r="DS89" s="740"/>
      <c r="DT89" s="740"/>
      <c r="DU89" s="740"/>
      <c r="DV89" s="740"/>
      <c r="DW89" s="740"/>
      <c r="DX89" s="740"/>
      <c r="DY89" s="740"/>
      <c r="DZ89" s="740"/>
      <c r="EA89" s="740"/>
      <c r="EB89" s="740"/>
      <c r="EC89" s="740"/>
      <c r="ED89" s="740"/>
      <c r="EE89" s="740"/>
      <c r="EF89" s="740"/>
      <c r="EG89" s="740"/>
      <c r="EH89" s="740"/>
      <c r="EI89" s="740"/>
      <c r="EJ89" s="740"/>
      <c r="EK89" s="740"/>
      <c r="EL89" s="740"/>
      <c r="EM89" s="740"/>
      <c r="EN89" s="740"/>
      <c r="EO89" s="740"/>
      <c r="EP89" s="740"/>
      <c r="EQ89" s="740"/>
      <c r="ER89" s="740"/>
      <c r="ES89" s="740"/>
      <c r="ET89" s="740"/>
      <c r="EU89" s="740"/>
      <c r="EV89" s="740"/>
      <c r="EW89" s="740"/>
      <c r="EX89" s="740"/>
      <c r="EY89" s="740"/>
      <c r="EZ89" s="740"/>
      <c r="FA89" s="740"/>
      <c r="FB89" s="740"/>
      <c r="FC89" s="740"/>
      <c r="FD89" s="740"/>
      <c r="FE89" s="740"/>
      <c r="FF89" s="740"/>
      <c r="FG89" s="740"/>
      <c r="FH89" s="740"/>
      <c r="FI89" s="740"/>
      <c r="FJ89" s="740"/>
      <c r="FK89" s="740"/>
      <c r="FL89" s="740"/>
      <c r="FM89" s="740"/>
      <c r="FN89" s="740"/>
      <c r="FO89" s="740"/>
      <c r="FP89" s="740"/>
      <c r="FQ89" s="740"/>
      <c r="FR89" s="740"/>
      <c r="FS89" s="740"/>
      <c r="FT89" s="740"/>
      <c r="FU89" s="740"/>
      <c r="FV89" s="740"/>
      <c r="FW89" s="740"/>
      <c r="FX89" s="740"/>
      <c r="FY89" s="740"/>
      <c r="FZ89" s="740"/>
      <c r="GA89" s="740"/>
      <c r="GB89" s="740"/>
      <c r="GC89" s="740"/>
      <c r="GD89" s="740"/>
      <c r="GE89" s="740"/>
      <c r="GF89" s="740"/>
      <c r="GG89" s="740"/>
      <c r="GH89" s="740"/>
      <c r="GI89" s="740"/>
      <c r="GJ89" s="740"/>
      <c r="GK89" s="740"/>
      <c r="GL89" s="740"/>
      <c r="GM89" s="740"/>
      <c r="GN89" s="740"/>
      <c r="GO89" s="740"/>
      <c r="GP89" s="740"/>
      <c r="GQ89" s="740"/>
      <c r="GR89" s="740"/>
      <c r="GS89" s="740"/>
      <c r="GT89" s="740"/>
      <c r="GU89" s="740"/>
      <c r="GV89" s="740"/>
      <c r="GW89" s="740"/>
    </row>
    <row r="90" spans="1:205" ht="20.100000000000001" customHeight="1" x14ac:dyDescent="0.2">
      <c r="A90" s="2503"/>
      <c r="D90" s="982"/>
      <c r="E90" s="1137" t="s">
        <v>530</v>
      </c>
      <c r="F90" s="982"/>
      <c r="G90" s="982"/>
      <c r="H90" s="982"/>
      <c r="I90" s="984"/>
      <c r="J90" s="982"/>
      <c r="K90" s="983"/>
      <c r="L90" s="982"/>
      <c r="M90" s="982"/>
      <c r="N90" s="983"/>
      <c r="O90" s="1066"/>
      <c r="P90" s="1161"/>
      <c r="Q90" s="983"/>
      <c r="R90" s="1052"/>
      <c r="S90" s="1052"/>
      <c r="T90" s="1052"/>
      <c r="U90" s="1052"/>
      <c r="V90" s="1052"/>
      <c r="W90" s="1052"/>
      <c r="X90" s="1052"/>
      <c r="Y90" s="1052"/>
      <c r="Z90" s="1052"/>
      <c r="AA90" s="740"/>
      <c r="AB90" s="740"/>
      <c r="AC90" s="740"/>
      <c r="AD90" s="740"/>
      <c r="AE90" s="740"/>
      <c r="AF90" s="740"/>
      <c r="AG90" s="740"/>
      <c r="AH90" s="740"/>
      <c r="AI90" s="740"/>
      <c r="AJ90" s="740"/>
      <c r="AK90" s="740"/>
      <c r="AL90" s="740"/>
      <c r="AM90" s="740"/>
      <c r="AN90" s="740"/>
      <c r="AO90" s="740"/>
      <c r="AP90" s="740"/>
      <c r="AQ90" s="740"/>
      <c r="AR90" s="740"/>
      <c r="AS90" s="740"/>
      <c r="AT90" s="740"/>
      <c r="AU90" s="740"/>
      <c r="AV90" s="740"/>
      <c r="AW90" s="740"/>
      <c r="AX90" s="740"/>
      <c r="AY90" s="740"/>
      <c r="AZ90" s="740"/>
      <c r="BA90" s="740"/>
      <c r="BB90" s="740"/>
      <c r="BC90" s="740"/>
      <c r="BD90" s="740"/>
      <c r="BE90" s="740"/>
      <c r="BF90" s="740"/>
      <c r="BG90" s="740"/>
      <c r="BH90" s="740"/>
      <c r="BI90" s="740"/>
      <c r="BJ90" s="740"/>
      <c r="BK90" s="740"/>
      <c r="BL90" s="740"/>
      <c r="BM90" s="740"/>
      <c r="BN90" s="740"/>
      <c r="BO90" s="740"/>
      <c r="BP90" s="740"/>
      <c r="BQ90" s="740"/>
      <c r="BR90" s="740"/>
      <c r="BS90" s="740"/>
      <c r="BT90" s="740"/>
      <c r="BU90" s="740"/>
      <c r="BV90" s="740"/>
      <c r="BW90" s="740"/>
      <c r="BX90" s="740"/>
      <c r="BY90" s="740"/>
      <c r="BZ90" s="740"/>
      <c r="CA90" s="740"/>
      <c r="CB90" s="740"/>
      <c r="CC90" s="740"/>
      <c r="CD90" s="740"/>
      <c r="CE90" s="740"/>
      <c r="CF90" s="740"/>
      <c r="CG90" s="740"/>
      <c r="CH90" s="740"/>
      <c r="CI90" s="740"/>
      <c r="CJ90" s="740"/>
      <c r="CK90" s="740"/>
      <c r="CL90" s="740"/>
      <c r="CM90" s="740"/>
      <c r="CN90" s="740"/>
      <c r="CO90" s="740"/>
      <c r="CP90" s="740"/>
      <c r="CQ90" s="740"/>
      <c r="CR90" s="740"/>
      <c r="CS90" s="740"/>
      <c r="CT90" s="740"/>
      <c r="CU90" s="740"/>
      <c r="CV90" s="740"/>
      <c r="CW90" s="740"/>
      <c r="CX90" s="740"/>
      <c r="CY90" s="740"/>
      <c r="CZ90" s="740"/>
      <c r="DA90" s="740"/>
      <c r="DB90" s="740"/>
      <c r="DC90" s="740"/>
      <c r="DD90" s="740"/>
      <c r="DE90" s="740"/>
      <c r="DF90" s="740"/>
      <c r="DG90" s="740"/>
      <c r="DH90" s="740"/>
      <c r="DI90" s="740"/>
      <c r="DJ90" s="740"/>
      <c r="DK90" s="740"/>
      <c r="DL90" s="740"/>
      <c r="DM90" s="740"/>
      <c r="DN90" s="740"/>
      <c r="DO90" s="740"/>
      <c r="DP90" s="740"/>
      <c r="DQ90" s="740"/>
      <c r="DR90" s="740"/>
      <c r="DS90" s="740"/>
      <c r="DT90" s="740"/>
      <c r="DU90" s="740"/>
      <c r="DV90" s="740"/>
      <c r="DW90" s="740"/>
      <c r="DX90" s="740"/>
      <c r="DY90" s="740"/>
      <c r="DZ90" s="740"/>
      <c r="EA90" s="740"/>
      <c r="EB90" s="740"/>
      <c r="EC90" s="740"/>
      <c r="ED90" s="740"/>
      <c r="EE90" s="740"/>
      <c r="EF90" s="740"/>
      <c r="EG90" s="740"/>
      <c r="EH90" s="740"/>
      <c r="EI90" s="740"/>
      <c r="EJ90" s="740"/>
      <c r="EK90" s="740"/>
      <c r="EL90" s="740"/>
      <c r="EM90" s="740"/>
      <c r="EN90" s="740"/>
      <c r="EO90" s="740"/>
      <c r="EP90" s="740"/>
      <c r="EQ90" s="740"/>
      <c r="ER90" s="740"/>
      <c r="ES90" s="740"/>
      <c r="ET90" s="740"/>
      <c r="EU90" s="740"/>
      <c r="EV90" s="740"/>
      <c r="EW90" s="740"/>
      <c r="EX90" s="740"/>
      <c r="EY90" s="740"/>
      <c r="EZ90" s="740"/>
      <c r="FA90" s="740"/>
      <c r="FB90" s="740"/>
      <c r="FC90" s="740"/>
      <c r="FD90" s="740"/>
      <c r="FE90" s="740"/>
      <c r="FF90" s="740"/>
      <c r="FG90" s="740"/>
      <c r="FH90" s="740"/>
      <c r="FI90" s="740"/>
      <c r="FJ90" s="740"/>
      <c r="FK90" s="740"/>
      <c r="FL90" s="740"/>
      <c r="FM90" s="740"/>
      <c r="FN90" s="740"/>
      <c r="FO90" s="740"/>
      <c r="FP90" s="740"/>
      <c r="FQ90" s="740"/>
      <c r="FR90" s="740"/>
      <c r="FS90" s="740"/>
      <c r="FT90" s="740"/>
      <c r="FU90" s="740"/>
      <c r="FV90" s="740"/>
      <c r="FW90" s="740"/>
      <c r="FX90" s="740"/>
      <c r="FY90" s="740"/>
      <c r="FZ90" s="740"/>
      <c r="GA90" s="740"/>
      <c r="GB90" s="740"/>
      <c r="GC90" s="740"/>
      <c r="GD90" s="740"/>
      <c r="GE90" s="740"/>
      <c r="GF90" s="740"/>
      <c r="GG90" s="740"/>
      <c r="GH90" s="740"/>
      <c r="GI90" s="740"/>
      <c r="GJ90" s="740"/>
      <c r="GK90" s="740"/>
      <c r="GL90" s="740"/>
      <c r="GM90" s="740"/>
      <c r="GN90" s="740"/>
      <c r="GO90" s="740"/>
      <c r="GP90" s="740"/>
      <c r="GQ90" s="740"/>
      <c r="GR90" s="740"/>
      <c r="GS90" s="740"/>
      <c r="GT90" s="740"/>
      <c r="GU90" s="740"/>
      <c r="GV90" s="740"/>
      <c r="GW90" s="740"/>
    </row>
    <row r="91" spans="1:205" ht="20.100000000000001" customHeight="1" x14ac:dyDescent="0.2">
      <c r="A91" s="2503"/>
      <c r="D91" s="982"/>
      <c r="E91" s="1137" t="s">
        <v>531</v>
      </c>
      <c r="F91" s="982"/>
      <c r="G91" s="982"/>
      <c r="H91" s="982"/>
      <c r="I91" s="984"/>
      <c r="J91" s="982"/>
      <c r="K91" s="983"/>
      <c r="L91" s="982"/>
      <c r="M91" s="509">
        <v>70</v>
      </c>
      <c r="N91" s="984" t="s">
        <v>961</v>
      </c>
      <c r="O91" s="1066"/>
      <c r="P91" s="1161"/>
      <c r="Q91" s="983"/>
      <c r="R91" s="1052"/>
      <c r="S91" s="1052"/>
      <c r="T91" s="1052"/>
      <c r="U91" s="1052"/>
      <c r="V91" s="1052"/>
      <c r="W91" s="1052"/>
      <c r="X91" s="1052"/>
      <c r="Y91" s="1052"/>
      <c r="Z91" s="1052"/>
      <c r="AA91" s="740"/>
      <c r="AB91" s="740"/>
      <c r="AC91" s="740"/>
      <c r="AD91" s="740"/>
      <c r="AE91" s="740"/>
      <c r="AF91" s="740"/>
      <c r="AG91" s="740"/>
      <c r="AH91" s="740"/>
      <c r="AI91" s="740"/>
      <c r="AJ91" s="740"/>
      <c r="AK91" s="740"/>
      <c r="AL91" s="740"/>
      <c r="AM91" s="740"/>
      <c r="AN91" s="740"/>
      <c r="AO91" s="740"/>
      <c r="AP91" s="740"/>
      <c r="AQ91" s="740"/>
      <c r="AR91" s="740"/>
      <c r="AS91" s="740"/>
      <c r="AT91" s="740"/>
      <c r="AU91" s="740"/>
      <c r="AV91" s="740"/>
      <c r="AW91" s="740"/>
      <c r="AX91" s="740"/>
      <c r="AY91" s="740"/>
      <c r="AZ91" s="740"/>
      <c r="BA91" s="740"/>
      <c r="BB91" s="740"/>
      <c r="BC91" s="740"/>
      <c r="BD91" s="740"/>
      <c r="BE91" s="740"/>
      <c r="BF91" s="740"/>
      <c r="BG91" s="740"/>
      <c r="BH91" s="740"/>
      <c r="BI91" s="740"/>
      <c r="BJ91" s="740"/>
      <c r="BK91" s="740"/>
      <c r="BL91" s="740"/>
      <c r="BM91" s="740"/>
      <c r="BN91" s="740"/>
      <c r="BO91" s="740"/>
      <c r="BP91" s="740"/>
      <c r="BQ91" s="740"/>
      <c r="BR91" s="740"/>
      <c r="BS91" s="740"/>
      <c r="BT91" s="740"/>
      <c r="BU91" s="740"/>
      <c r="BV91" s="740"/>
      <c r="BW91" s="740"/>
      <c r="BX91" s="740"/>
      <c r="BY91" s="740"/>
      <c r="BZ91" s="740"/>
      <c r="CA91" s="740"/>
      <c r="CB91" s="740"/>
      <c r="CC91" s="740"/>
      <c r="CD91" s="740"/>
      <c r="CE91" s="740"/>
      <c r="CF91" s="740"/>
      <c r="CG91" s="740"/>
      <c r="CH91" s="740"/>
      <c r="CI91" s="740"/>
      <c r="CJ91" s="740"/>
      <c r="CK91" s="740"/>
      <c r="CL91" s="740"/>
      <c r="CM91" s="740"/>
      <c r="CN91" s="740"/>
      <c r="CO91" s="740"/>
      <c r="CP91" s="740"/>
      <c r="CQ91" s="740"/>
      <c r="CR91" s="740"/>
      <c r="CS91" s="740"/>
      <c r="CT91" s="740"/>
      <c r="CU91" s="740"/>
      <c r="CV91" s="740"/>
      <c r="CW91" s="740"/>
      <c r="CX91" s="740"/>
      <c r="CY91" s="740"/>
      <c r="CZ91" s="740"/>
      <c r="DA91" s="740"/>
      <c r="DB91" s="740"/>
      <c r="DC91" s="740"/>
      <c r="DD91" s="740"/>
      <c r="DE91" s="740"/>
      <c r="DF91" s="740"/>
      <c r="DG91" s="740"/>
      <c r="DH91" s="740"/>
      <c r="DI91" s="740"/>
      <c r="DJ91" s="740"/>
      <c r="DK91" s="740"/>
      <c r="DL91" s="740"/>
      <c r="DM91" s="740"/>
      <c r="DN91" s="740"/>
      <c r="DO91" s="740"/>
      <c r="DP91" s="740"/>
      <c r="DQ91" s="740"/>
      <c r="DR91" s="740"/>
      <c r="DS91" s="740"/>
      <c r="DT91" s="740"/>
      <c r="DU91" s="740"/>
      <c r="DV91" s="740"/>
      <c r="DW91" s="740"/>
      <c r="DX91" s="740"/>
      <c r="DY91" s="740"/>
      <c r="DZ91" s="740"/>
      <c r="EA91" s="740"/>
      <c r="EB91" s="740"/>
      <c r="EC91" s="740"/>
      <c r="ED91" s="740"/>
      <c r="EE91" s="740"/>
      <c r="EF91" s="740"/>
      <c r="EG91" s="740"/>
      <c r="EH91" s="740"/>
      <c r="EI91" s="740"/>
      <c r="EJ91" s="740"/>
      <c r="EK91" s="740"/>
      <c r="EL91" s="740"/>
      <c r="EM91" s="740"/>
      <c r="EN91" s="740"/>
      <c r="EO91" s="740"/>
      <c r="EP91" s="740"/>
      <c r="EQ91" s="740"/>
      <c r="ER91" s="740"/>
      <c r="ES91" s="740"/>
      <c r="ET91" s="740"/>
      <c r="EU91" s="740"/>
      <c r="EV91" s="740"/>
      <c r="EW91" s="740"/>
      <c r="EX91" s="740"/>
      <c r="EY91" s="740"/>
      <c r="EZ91" s="740"/>
      <c r="FA91" s="740"/>
      <c r="FB91" s="740"/>
      <c r="FC91" s="740"/>
      <c r="FD91" s="740"/>
      <c r="FE91" s="740"/>
      <c r="FF91" s="740"/>
      <c r="FG91" s="740"/>
      <c r="FH91" s="740"/>
      <c r="FI91" s="740"/>
      <c r="FJ91" s="740"/>
      <c r="FK91" s="740"/>
      <c r="FL91" s="740"/>
      <c r="FM91" s="740"/>
      <c r="FN91" s="740"/>
      <c r="FO91" s="740"/>
      <c r="FP91" s="740"/>
      <c r="FQ91" s="740"/>
      <c r="FR91" s="740"/>
      <c r="FS91" s="740"/>
      <c r="FT91" s="740"/>
      <c r="FU91" s="740"/>
      <c r="FV91" s="740"/>
      <c r="FW91" s="740"/>
      <c r="FX91" s="740"/>
      <c r="FY91" s="740"/>
      <c r="FZ91" s="740"/>
      <c r="GA91" s="740"/>
      <c r="GB91" s="740"/>
      <c r="GC91" s="740"/>
      <c r="GD91" s="740"/>
      <c r="GE91" s="740"/>
      <c r="GF91" s="740"/>
      <c r="GG91" s="740"/>
      <c r="GH91" s="740"/>
      <c r="GI91" s="740"/>
      <c r="GJ91" s="740"/>
      <c r="GK91" s="740"/>
      <c r="GL91" s="740"/>
      <c r="GM91" s="740"/>
      <c r="GN91" s="740"/>
      <c r="GO91" s="740"/>
      <c r="GP91" s="740"/>
      <c r="GQ91" s="740"/>
      <c r="GR91" s="740"/>
      <c r="GS91" s="740"/>
      <c r="GT91" s="740"/>
      <c r="GU91" s="740"/>
      <c r="GV91" s="740"/>
      <c r="GW91" s="740"/>
    </row>
    <row r="92" spans="1:205" ht="20.100000000000001" customHeight="1" x14ac:dyDescent="0.2">
      <c r="A92" s="2503"/>
      <c r="D92" s="982"/>
      <c r="E92" s="1137" t="s">
        <v>532</v>
      </c>
      <c r="F92" s="982"/>
      <c r="G92" s="982"/>
      <c r="H92" s="982"/>
      <c r="I92" s="984"/>
      <c r="J92" s="982"/>
      <c r="K92" s="983"/>
      <c r="L92" s="982"/>
      <c r="M92" s="1127">
        <v>3.7</v>
      </c>
      <c r="N92" s="982" t="s">
        <v>533</v>
      </c>
      <c r="O92" s="1066"/>
      <c r="P92" s="1161"/>
      <c r="Q92" s="983"/>
      <c r="R92" s="1052"/>
      <c r="S92" s="1052"/>
      <c r="T92" s="1052"/>
      <c r="U92" s="1052"/>
      <c r="V92" s="1052"/>
      <c r="W92" s="1052"/>
      <c r="X92" s="1052"/>
      <c r="Y92" s="1052"/>
      <c r="Z92" s="1052"/>
      <c r="AA92" s="740"/>
      <c r="AB92" s="740"/>
      <c r="AC92" s="740"/>
      <c r="AD92" s="740"/>
      <c r="AE92" s="740"/>
      <c r="AF92" s="740"/>
      <c r="AG92" s="740"/>
      <c r="AH92" s="740"/>
      <c r="AI92" s="740"/>
      <c r="AJ92" s="740"/>
      <c r="AK92" s="740"/>
      <c r="AL92" s="740"/>
      <c r="AM92" s="740"/>
      <c r="AN92" s="740"/>
      <c r="AO92" s="740"/>
      <c r="AP92" s="740"/>
      <c r="AQ92" s="740"/>
      <c r="AR92" s="740"/>
      <c r="AS92" s="740"/>
      <c r="AT92" s="740"/>
      <c r="AU92" s="740"/>
      <c r="AV92" s="740"/>
      <c r="AW92" s="740"/>
      <c r="AX92" s="740"/>
      <c r="AY92" s="740"/>
      <c r="AZ92" s="740"/>
      <c r="BA92" s="740"/>
      <c r="BB92" s="740"/>
      <c r="BC92" s="740"/>
      <c r="BD92" s="740"/>
      <c r="BE92" s="740"/>
      <c r="BF92" s="740"/>
      <c r="BG92" s="740"/>
      <c r="BH92" s="740"/>
      <c r="BI92" s="740"/>
      <c r="BJ92" s="740"/>
      <c r="BK92" s="740"/>
      <c r="BL92" s="740"/>
      <c r="BM92" s="740"/>
      <c r="BN92" s="740"/>
      <c r="BO92" s="740"/>
      <c r="BP92" s="740"/>
      <c r="BQ92" s="740"/>
      <c r="BR92" s="740"/>
      <c r="BS92" s="740"/>
      <c r="BT92" s="740"/>
      <c r="BU92" s="740"/>
      <c r="BV92" s="740"/>
      <c r="BW92" s="740"/>
      <c r="BX92" s="740"/>
      <c r="BY92" s="740"/>
      <c r="BZ92" s="740"/>
      <c r="CA92" s="740"/>
      <c r="CB92" s="740"/>
      <c r="CC92" s="740"/>
      <c r="CD92" s="740"/>
      <c r="CE92" s="740"/>
      <c r="CF92" s="740"/>
      <c r="CG92" s="740"/>
      <c r="CH92" s="740"/>
      <c r="CI92" s="740"/>
      <c r="CJ92" s="740"/>
      <c r="CK92" s="740"/>
      <c r="CL92" s="740"/>
      <c r="CM92" s="740"/>
      <c r="CN92" s="740"/>
      <c r="CO92" s="740"/>
      <c r="CP92" s="740"/>
      <c r="CQ92" s="740"/>
      <c r="CR92" s="740"/>
      <c r="CS92" s="740"/>
      <c r="CT92" s="740"/>
      <c r="CU92" s="740"/>
      <c r="CV92" s="740"/>
      <c r="CW92" s="740"/>
      <c r="CX92" s="740"/>
      <c r="CY92" s="740"/>
      <c r="CZ92" s="740"/>
      <c r="DA92" s="740"/>
      <c r="DB92" s="740"/>
      <c r="DC92" s="740"/>
      <c r="DD92" s="740"/>
      <c r="DE92" s="740"/>
      <c r="DF92" s="740"/>
      <c r="DG92" s="740"/>
      <c r="DH92" s="740"/>
      <c r="DI92" s="740"/>
      <c r="DJ92" s="740"/>
      <c r="DK92" s="740"/>
      <c r="DL92" s="740"/>
      <c r="DM92" s="740"/>
      <c r="DN92" s="740"/>
      <c r="DO92" s="740"/>
      <c r="DP92" s="740"/>
      <c r="DQ92" s="740"/>
      <c r="DR92" s="740"/>
      <c r="DS92" s="740"/>
      <c r="DT92" s="740"/>
      <c r="DU92" s="740"/>
      <c r="DV92" s="740"/>
      <c r="DW92" s="740"/>
      <c r="DX92" s="740"/>
      <c r="DY92" s="740"/>
      <c r="DZ92" s="740"/>
      <c r="EA92" s="740"/>
      <c r="EB92" s="740"/>
      <c r="EC92" s="740"/>
      <c r="ED92" s="740"/>
      <c r="EE92" s="740"/>
      <c r="EF92" s="740"/>
      <c r="EG92" s="740"/>
      <c r="EH92" s="740"/>
      <c r="EI92" s="740"/>
      <c r="EJ92" s="740"/>
      <c r="EK92" s="740"/>
      <c r="EL92" s="740"/>
      <c r="EM92" s="740"/>
      <c r="EN92" s="740"/>
      <c r="EO92" s="740"/>
      <c r="EP92" s="740"/>
      <c r="EQ92" s="740"/>
      <c r="ER92" s="740"/>
      <c r="ES92" s="740"/>
      <c r="ET92" s="740"/>
      <c r="EU92" s="740"/>
      <c r="EV92" s="740"/>
      <c r="EW92" s="740"/>
      <c r="EX92" s="740"/>
      <c r="EY92" s="740"/>
      <c r="EZ92" s="740"/>
      <c r="FA92" s="740"/>
      <c r="FB92" s="740"/>
      <c r="FC92" s="740"/>
      <c r="FD92" s="740"/>
      <c r="FE92" s="740"/>
      <c r="FF92" s="740"/>
      <c r="FG92" s="740"/>
      <c r="FH92" s="740"/>
      <c r="FI92" s="740"/>
      <c r="FJ92" s="740"/>
      <c r="FK92" s="740"/>
      <c r="FL92" s="740"/>
      <c r="FM92" s="740"/>
      <c r="FN92" s="740"/>
      <c r="FO92" s="740"/>
      <c r="FP92" s="740"/>
      <c r="FQ92" s="740"/>
      <c r="FR92" s="740"/>
      <c r="FS92" s="740"/>
      <c r="FT92" s="740"/>
      <c r="FU92" s="740"/>
      <c r="FV92" s="740"/>
      <c r="FW92" s="740"/>
      <c r="FX92" s="740"/>
      <c r="FY92" s="740"/>
      <c r="FZ92" s="740"/>
      <c r="GA92" s="740"/>
      <c r="GB92" s="740"/>
      <c r="GC92" s="740"/>
      <c r="GD92" s="740"/>
      <c r="GE92" s="740"/>
      <c r="GF92" s="740"/>
      <c r="GG92" s="740"/>
      <c r="GH92" s="740"/>
      <c r="GI92" s="740"/>
      <c r="GJ92" s="740"/>
      <c r="GK92" s="740"/>
      <c r="GL92" s="740"/>
      <c r="GM92" s="740"/>
      <c r="GN92" s="740"/>
      <c r="GO92" s="740"/>
      <c r="GP92" s="740"/>
      <c r="GQ92" s="740"/>
      <c r="GR92" s="740"/>
      <c r="GS92" s="740"/>
      <c r="GT92" s="740"/>
      <c r="GU92" s="740"/>
      <c r="GV92" s="740"/>
      <c r="GW92" s="740"/>
    </row>
    <row r="93" spans="1:205" ht="20.100000000000001" customHeight="1" x14ac:dyDescent="0.2">
      <c r="A93" s="2503"/>
      <c r="D93" s="982"/>
      <c r="E93" s="1160" t="str">
        <f>"Gesamtarbeitszeit in der Kalbphase bei  " &amp;M89&amp;" Tagen"</f>
        <v>Gesamtarbeitszeit in der Kalbphase bei  110 Tagen</v>
      </c>
      <c r="F93" s="982"/>
      <c r="G93" s="982"/>
      <c r="H93" s="982"/>
      <c r="I93" s="984"/>
      <c r="J93" s="982"/>
      <c r="K93" s="983"/>
      <c r="L93" s="982"/>
      <c r="M93" s="1128">
        <f>M92*M89/60</f>
        <v>6.7833333333333332</v>
      </c>
      <c r="N93" s="724" t="s">
        <v>534</v>
      </c>
      <c r="O93" s="1066"/>
      <c r="P93" s="1161"/>
      <c r="Q93" s="983"/>
      <c r="R93" s="1052"/>
      <c r="S93" s="1052"/>
      <c r="T93" s="1052"/>
      <c r="U93" s="1052"/>
      <c r="V93" s="1052"/>
      <c r="W93" s="1052"/>
      <c r="X93" s="1052"/>
      <c r="Y93" s="1052"/>
      <c r="Z93" s="1052"/>
      <c r="AA93" s="740"/>
      <c r="AB93" s="740"/>
      <c r="AC93" s="740"/>
      <c r="AD93" s="740"/>
      <c r="AE93" s="740"/>
      <c r="AF93" s="740"/>
      <c r="AG93" s="740"/>
      <c r="AH93" s="740"/>
      <c r="AI93" s="740"/>
      <c r="AJ93" s="740"/>
      <c r="AK93" s="740"/>
      <c r="AL93" s="740"/>
      <c r="AM93" s="740"/>
      <c r="AN93" s="740"/>
      <c r="AO93" s="740"/>
      <c r="AP93" s="740"/>
      <c r="AQ93" s="740"/>
      <c r="AR93" s="740"/>
      <c r="AS93" s="740"/>
      <c r="AT93" s="740"/>
      <c r="AU93" s="740"/>
      <c r="AV93" s="740"/>
      <c r="AW93" s="740"/>
      <c r="AX93" s="740"/>
      <c r="AY93" s="740"/>
      <c r="AZ93" s="740"/>
      <c r="BA93" s="740"/>
      <c r="BB93" s="740"/>
      <c r="BC93" s="740"/>
      <c r="BD93" s="740"/>
      <c r="BE93" s="740"/>
      <c r="BF93" s="740"/>
      <c r="BG93" s="740"/>
      <c r="BH93" s="740"/>
      <c r="BI93" s="740"/>
      <c r="BJ93" s="740"/>
      <c r="BK93" s="740"/>
      <c r="BL93" s="740"/>
      <c r="BM93" s="740"/>
      <c r="BN93" s="740"/>
      <c r="BO93" s="740"/>
      <c r="BP93" s="740"/>
      <c r="BQ93" s="740"/>
      <c r="BR93" s="740"/>
      <c r="BS93" s="740"/>
      <c r="BT93" s="740"/>
      <c r="BU93" s="740"/>
      <c r="BV93" s="740"/>
      <c r="BW93" s="740"/>
      <c r="BX93" s="740"/>
      <c r="BY93" s="740"/>
      <c r="BZ93" s="740"/>
      <c r="CA93" s="740"/>
      <c r="CB93" s="740"/>
      <c r="CC93" s="740"/>
      <c r="CD93" s="740"/>
      <c r="CE93" s="740"/>
      <c r="CF93" s="740"/>
      <c r="CG93" s="740"/>
      <c r="CH93" s="740"/>
      <c r="CI93" s="740"/>
      <c r="CJ93" s="740"/>
      <c r="CK93" s="740"/>
      <c r="CL93" s="740"/>
      <c r="CM93" s="740"/>
      <c r="CN93" s="740"/>
      <c r="CO93" s="740"/>
      <c r="CP93" s="740"/>
      <c r="CQ93" s="740"/>
      <c r="CR93" s="740"/>
      <c r="CS93" s="740"/>
      <c r="CT93" s="740"/>
      <c r="CU93" s="740"/>
      <c r="CV93" s="740"/>
      <c r="CW93" s="740"/>
      <c r="CX93" s="740"/>
      <c r="CY93" s="740"/>
      <c r="CZ93" s="740"/>
      <c r="DA93" s="740"/>
      <c r="DB93" s="740"/>
      <c r="DC93" s="740"/>
      <c r="DD93" s="740"/>
      <c r="DE93" s="740"/>
      <c r="DF93" s="740"/>
      <c r="DG93" s="740"/>
      <c r="DH93" s="740"/>
      <c r="DI93" s="740"/>
      <c r="DJ93" s="740"/>
      <c r="DK93" s="740"/>
      <c r="DL93" s="740"/>
      <c r="DM93" s="740"/>
      <c r="DN93" s="740"/>
      <c r="DO93" s="740"/>
      <c r="DP93" s="740"/>
      <c r="DQ93" s="740"/>
      <c r="DR93" s="740"/>
      <c r="DS93" s="740"/>
      <c r="DT93" s="740"/>
      <c r="DU93" s="740"/>
      <c r="DV93" s="740"/>
      <c r="DW93" s="740"/>
      <c r="DX93" s="740"/>
      <c r="DY93" s="740"/>
      <c r="DZ93" s="740"/>
      <c r="EA93" s="740"/>
      <c r="EB93" s="740"/>
      <c r="EC93" s="740"/>
      <c r="ED93" s="740"/>
      <c r="EE93" s="740"/>
      <c r="EF93" s="740"/>
      <c r="EG93" s="740"/>
      <c r="EH93" s="740"/>
      <c r="EI93" s="740"/>
      <c r="EJ93" s="740"/>
      <c r="EK93" s="740"/>
      <c r="EL93" s="740"/>
      <c r="EM93" s="740"/>
      <c r="EN93" s="740"/>
      <c r="EO93" s="740"/>
      <c r="EP93" s="740"/>
      <c r="EQ93" s="740"/>
      <c r="ER93" s="740"/>
      <c r="ES93" s="740"/>
      <c r="ET93" s="740"/>
      <c r="EU93" s="740"/>
      <c r="EV93" s="740"/>
      <c r="EW93" s="740"/>
      <c r="EX93" s="740"/>
      <c r="EY93" s="740"/>
      <c r="EZ93" s="740"/>
      <c r="FA93" s="740"/>
      <c r="FB93" s="740"/>
      <c r="FC93" s="740"/>
      <c r="FD93" s="740"/>
      <c r="FE93" s="740"/>
      <c r="FF93" s="740"/>
      <c r="FG93" s="740"/>
      <c r="FH93" s="740"/>
      <c r="FI93" s="740"/>
      <c r="FJ93" s="740"/>
      <c r="FK93" s="740"/>
      <c r="FL93" s="740"/>
      <c r="FM93" s="740"/>
      <c r="FN93" s="740"/>
      <c r="FO93" s="740"/>
      <c r="FP93" s="740"/>
      <c r="FQ93" s="740"/>
      <c r="FR93" s="740"/>
      <c r="FS93" s="740"/>
      <c r="FT93" s="740"/>
      <c r="FU93" s="740"/>
      <c r="FV93" s="740"/>
      <c r="FW93" s="740"/>
      <c r="FX93" s="740"/>
      <c r="FY93" s="740"/>
      <c r="FZ93" s="740"/>
      <c r="GA93" s="740"/>
      <c r="GB93" s="740"/>
      <c r="GC93" s="740"/>
      <c r="GD93" s="740"/>
      <c r="GE93" s="740"/>
      <c r="GF93" s="740"/>
      <c r="GG93" s="740"/>
      <c r="GH93" s="740"/>
      <c r="GI93" s="740"/>
      <c r="GJ93" s="740"/>
      <c r="GK93" s="740"/>
      <c r="GL93" s="740"/>
      <c r="GM93" s="740"/>
      <c r="GN93" s="740"/>
      <c r="GO93" s="740"/>
      <c r="GP93" s="740"/>
      <c r="GQ93" s="740"/>
      <c r="GR93" s="740"/>
      <c r="GS93" s="740"/>
      <c r="GT93" s="740"/>
      <c r="GU93" s="740"/>
      <c r="GV93" s="740"/>
      <c r="GW93" s="740"/>
    </row>
    <row r="94" spans="1:205" ht="8.4499999999999993" customHeight="1" thickBot="1" x14ac:dyDescent="0.25">
      <c r="A94" s="2503"/>
      <c r="D94" s="982"/>
      <c r="E94" s="1137"/>
      <c r="F94" s="982"/>
      <c r="G94" s="982"/>
      <c r="H94" s="982"/>
      <c r="I94" s="984"/>
      <c r="J94" s="982"/>
      <c r="K94" s="983"/>
      <c r="L94" s="982"/>
      <c r="M94" s="1131"/>
      <c r="N94" s="982"/>
      <c r="O94" s="983"/>
      <c r="P94" s="1163"/>
      <c r="Q94" s="983"/>
      <c r="R94" s="1052"/>
      <c r="S94" s="1052"/>
      <c r="T94" s="1052"/>
      <c r="U94" s="1052"/>
      <c r="V94" s="1052"/>
      <c r="W94" s="1052"/>
      <c r="X94" s="1052"/>
      <c r="Y94" s="1052"/>
      <c r="Z94" s="1052"/>
      <c r="AA94" s="740"/>
      <c r="AB94" s="740"/>
      <c r="AC94" s="740"/>
      <c r="AD94" s="740"/>
      <c r="AE94" s="740"/>
      <c r="AF94" s="740"/>
      <c r="AG94" s="740"/>
      <c r="AH94" s="740"/>
      <c r="AI94" s="740"/>
      <c r="AJ94" s="740"/>
      <c r="AK94" s="740"/>
      <c r="AL94" s="740"/>
      <c r="AM94" s="740"/>
      <c r="AN94" s="740"/>
      <c r="AO94" s="740"/>
      <c r="AP94" s="740"/>
      <c r="AQ94" s="740"/>
      <c r="AR94" s="740"/>
      <c r="AS94" s="740"/>
      <c r="AT94" s="740"/>
      <c r="AU94" s="740"/>
      <c r="AV94" s="740"/>
      <c r="AW94" s="740"/>
      <c r="AX94" s="740"/>
      <c r="AY94" s="740"/>
      <c r="AZ94" s="740"/>
      <c r="BA94" s="740"/>
      <c r="BB94" s="740"/>
      <c r="BC94" s="740"/>
      <c r="BD94" s="740"/>
      <c r="BE94" s="740"/>
      <c r="BF94" s="740"/>
      <c r="BG94" s="740"/>
      <c r="BH94" s="740"/>
      <c r="BI94" s="740"/>
      <c r="BJ94" s="740"/>
      <c r="BK94" s="740"/>
      <c r="BL94" s="740"/>
      <c r="BM94" s="740"/>
      <c r="BN94" s="740"/>
      <c r="BO94" s="740"/>
      <c r="BP94" s="740"/>
      <c r="BQ94" s="740"/>
      <c r="BR94" s="740"/>
      <c r="BS94" s="740"/>
      <c r="BT94" s="740"/>
      <c r="BU94" s="740"/>
      <c r="BV94" s="740"/>
      <c r="BW94" s="740"/>
      <c r="BX94" s="740"/>
      <c r="BY94" s="740"/>
      <c r="BZ94" s="740"/>
      <c r="CA94" s="740"/>
      <c r="CB94" s="740"/>
      <c r="CC94" s="740"/>
      <c r="CD94" s="740"/>
      <c r="CE94" s="740"/>
      <c r="CF94" s="740"/>
      <c r="CG94" s="740"/>
      <c r="CH94" s="740"/>
      <c r="CI94" s="740"/>
      <c r="CJ94" s="740"/>
      <c r="CK94" s="740"/>
      <c r="CL94" s="740"/>
      <c r="CM94" s="740"/>
      <c r="CN94" s="740"/>
      <c r="CO94" s="740"/>
      <c r="CP94" s="740"/>
      <c r="CQ94" s="740"/>
      <c r="CR94" s="740"/>
      <c r="CS94" s="740"/>
      <c r="CT94" s="740"/>
      <c r="CU94" s="740"/>
      <c r="CV94" s="740"/>
      <c r="CW94" s="740"/>
      <c r="CX94" s="740"/>
      <c r="CY94" s="740"/>
      <c r="CZ94" s="740"/>
      <c r="DA94" s="740"/>
      <c r="DB94" s="740"/>
      <c r="DC94" s="740"/>
      <c r="DD94" s="740"/>
      <c r="DE94" s="740"/>
      <c r="DF94" s="740"/>
      <c r="DG94" s="740"/>
      <c r="DH94" s="740"/>
      <c r="DI94" s="740"/>
      <c r="DJ94" s="740"/>
      <c r="DK94" s="740"/>
      <c r="DL94" s="740"/>
      <c r="DM94" s="740"/>
      <c r="DN94" s="740"/>
      <c r="DO94" s="740"/>
      <c r="DP94" s="740"/>
      <c r="DQ94" s="740"/>
      <c r="DR94" s="740"/>
      <c r="DS94" s="740"/>
      <c r="DT94" s="740"/>
      <c r="DU94" s="740"/>
      <c r="DV94" s="740"/>
      <c r="DW94" s="740"/>
      <c r="DX94" s="740"/>
      <c r="DY94" s="740"/>
      <c r="DZ94" s="740"/>
      <c r="EA94" s="740"/>
      <c r="EB94" s="740"/>
      <c r="EC94" s="740"/>
      <c r="ED94" s="740"/>
      <c r="EE94" s="740"/>
      <c r="EF94" s="740"/>
      <c r="EG94" s="740"/>
      <c r="EH94" s="740"/>
      <c r="EI94" s="740"/>
      <c r="EJ94" s="740"/>
      <c r="EK94" s="740"/>
      <c r="EL94" s="740"/>
      <c r="EM94" s="740"/>
      <c r="EN94" s="740"/>
      <c r="EO94" s="740"/>
      <c r="EP94" s="740"/>
      <c r="EQ94" s="740"/>
      <c r="ER94" s="740"/>
      <c r="ES94" s="740"/>
      <c r="ET94" s="740"/>
      <c r="EU94" s="740"/>
      <c r="EV94" s="740"/>
      <c r="EW94" s="740"/>
      <c r="EX94" s="740"/>
      <c r="EY94" s="740"/>
      <c r="EZ94" s="740"/>
      <c r="FA94" s="740"/>
      <c r="FB94" s="740"/>
      <c r="FC94" s="740"/>
      <c r="FD94" s="740"/>
      <c r="FE94" s="740"/>
      <c r="FF94" s="740"/>
      <c r="FG94" s="740"/>
      <c r="FH94" s="740"/>
      <c r="FI94" s="740"/>
      <c r="FJ94" s="740"/>
      <c r="FK94" s="740"/>
      <c r="FL94" s="740"/>
      <c r="FM94" s="740"/>
      <c r="FN94" s="740"/>
      <c r="FO94" s="740"/>
      <c r="FP94" s="740"/>
      <c r="FQ94" s="740"/>
      <c r="FR94" s="740"/>
      <c r="FS94" s="740"/>
      <c r="FT94" s="740"/>
      <c r="FU94" s="740"/>
      <c r="FV94" s="740"/>
      <c r="FW94" s="740"/>
      <c r="FX94" s="740"/>
      <c r="FY94" s="740"/>
      <c r="FZ94" s="740"/>
      <c r="GA94" s="740"/>
      <c r="GB94" s="740"/>
      <c r="GC94" s="740"/>
      <c r="GD94" s="740"/>
      <c r="GE94" s="740"/>
      <c r="GF94" s="740"/>
      <c r="GG94" s="740"/>
      <c r="GH94" s="740"/>
      <c r="GI94" s="740"/>
      <c r="GJ94" s="740"/>
      <c r="GK94" s="740"/>
      <c r="GL94" s="740"/>
      <c r="GM94" s="740"/>
      <c r="GN94" s="740"/>
      <c r="GO94" s="740"/>
      <c r="GP94" s="740"/>
      <c r="GQ94" s="740"/>
      <c r="GR94" s="740"/>
      <c r="GS94" s="740"/>
      <c r="GT94" s="740"/>
      <c r="GU94" s="740"/>
      <c r="GV94" s="740"/>
      <c r="GW94" s="740"/>
    </row>
    <row r="95" spans="1:205" ht="20.100000000000001" customHeight="1" x14ac:dyDescent="0.2">
      <c r="A95" s="2503"/>
      <c r="D95" s="982"/>
      <c r="E95" s="1133"/>
      <c r="F95" s="1134"/>
      <c r="G95" s="1134"/>
      <c r="H95" s="1134"/>
      <c r="I95" s="1135"/>
      <c r="J95" s="1136"/>
      <c r="K95" s="4017" t="s">
        <v>237</v>
      </c>
      <c r="L95" s="4018"/>
      <c r="M95" s="4018"/>
      <c r="N95" s="4018"/>
      <c r="O95" s="4018"/>
      <c r="P95" s="4019"/>
      <c r="Q95" s="983"/>
      <c r="R95" s="1052"/>
      <c r="S95" s="1052"/>
      <c r="T95" s="1052"/>
      <c r="U95" s="1052"/>
      <c r="V95" s="1052"/>
      <c r="W95" s="1052"/>
      <c r="X95" s="1052"/>
      <c r="Y95" s="1052"/>
      <c r="Z95" s="1052"/>
      <c r="AA95" s="740"/>
      <c r="AB95" s="740"/>
      <c r="AC95" s="740"/>
      <c r="AD95" s="740"/>
      <c r="AE95" s="740"/>
      <c r="AF95" s="740"/>
      <c r="AG95" s="740"/>
      <c r="AH95" s="740"/>
      <c r="AI95" s="740"/>
      <c r="AJ95" s="740"/>
      <c r="AK95" s="740"/>
      <c r="AL95" s="740"/>
      <c r="AM95" s="740"/>
      <c r="AN95" s="740"/>
      <c r="AO95" s="740"/>
      <c r="AP95" s="740"/>
      <c r="AQ95" s="740"/>
      <c r="AR95" s="740"/>
      <c r="AS95" s="740"/>
      <c r="AT95" s="740"/>
      <c r="AU95" s="740"/>
      <c r="AV95" s="740"/>
      <c r="AW95" s="740"/>
      <c r="AX95" s="740"/>
      <c r="AY95" s="740"/>
      <c r="AZ95" s="740"/>
      <c r="BA95" s="740"/>
      <c r="BB95" s="740"/>
      <c r="BC95" s="740"/>
      <c r="BD95" s="740"/>
      <c r="BE95" s="740"/>
      <c r="BF95" s="740"/>
      <c r="BG95" s="740"/>
      <c r="BH95" s="740"/>
      <c r="BI95" s="740"/>
      <c r="BJ95" s="740"/>
      <c r="BK95" s="740"/>
      <c r="BL95" s="740"/>
      <c r="BM95" s="740"/>
      <c r="BN95" s="740"/>
      <c r="BO95" s="740"/>
      <c r="BP95" s="740"/>
      <c r="BQ95" s="740"/>
      <c r="BR95" s="740"/>
      <c r="BS95" s="740"/>
      <c r="BT95" s="740"/>
      <c r="BU95" s="740"/>
      <c r="BV95" s="740"/>
      <c r="BW95" s="740"/>
      <c r="BX95" s="740"/>
      <c r="BY95" s="740"/>
      <c r="BZ95" s="740"/>
      <c r="CA95" s="740"/>
      <c r="CB95" s="740"/>
      <c r="CC95" s="740"/>
      <c r="CD95" s="740"/>
      <c r="CE95" s="740"/>
      <c r="CF95" s="740"/>
      <c r="CG95" s="740"/>
      <c r="CH95" s="740"/>
      <c r="CI95" s="740"/>
      <c r="CJ95" s="740"/>
      <c r="CK95" s="740"/>
      <c r="CL95" s="740"/>
      <c r="CM95" s="740"/>
      <c r="CN95" s="740"/>
      <c r="CO95" s="740"/>
      <c r="CP95" s="740"/>
      <c r="CQ95" s="740"/>
      <c r="CR95" s="740"/>
      <c r="CS95" s="740"/>
      <c r="CT95" s="740"/>
      <c r="CU95" s="740"/>
      <c r="CV95" s="740"/>
      <c r="CW95" s="740"/>
      <c r="CX95" s="740"/>
      <c r="CY95" s="740"/>
      <c r="CZ95" s="740"/>
      <c r="DA95" s="740"/>
      <c r="DB95" s="740"/>
      <c r="DC95" s="740"/>
      <c r="DD95" s="740"/>
      <c r="DE95" s="740"/>
      <c r="DF95" s="740"/>
      <c r="DG95" s="740"/>
      <c r="DH95" s="740"/>
      <c r="DI95" s="740"/>
      <c r="DJ95" s="740"/>
      <c r="DK95" s="740"/>
      <c r="DL95" s="740"/>
      <c r="DM95" s="740"/>
      <c r="DN95" s="740"/>
      <c r="DO95" s="740"/>
      <c r="DP95" s="740"/>
      <c r="DQ95" s="740"/>
      <c r="DR95" s="740"/>
      <c r="DS95" s="740"/>
      <c r="DT95" s="740"/>
      <c r="DU95" s="740"/>
      <c r="DV95" s="740"/>
      <c r="DW95" s="740"/>
      <c r="DX95" s="740"/>
      <c r="DY95" s="740"/>
      <c r="DZ95" s="740"/>
      <c r="EA95" s="740"/>
      <c r="EB95" s="740"/>
      <c r="EC95" s="740"/>
      <c r="ED95" s="740"/>
      <c r="EE95" s="740"/>
      <c r="EF95" s="740"/>
      <c r="EG95" s="740"/>
      <c r="EH95" s="740"/>
      <c r="EI95" s="740"/>
      <c r="EJ95" s="740"/>
      <c r="EK95" s="740"/>
      <c r="EL95" s="740"/>
      <c r="EM95" s="740"/>
      <c r="EN95" s="740"/>
      <c r="EO95" s="740"/>
      <c r="EP95" s="740"/>
      <c r="EQ95" s="740"/>
      <c r="ER95" s="740"/>
      <c r="ES95" s="740"/>
      <c r="ET95" s="740"/>
      <c r="EU95" s="740"/>
      <c r="EV95" s="740"/>
      <c r="EW95" s="740"/>
      <c r="EX95" s="740"/>
      <c r="EY95" s="740"/>
      <c r="EZ95" s="740"/>
      <c r="FA95" s="740"/>
      <c r="FB95" s="740"/>
      <c r="FC95" s="740"/>
      <c r="FD95" s="740"/>
      <c r="FE95" s="740"/>
      <c r="FF95" s="740"/>
      <c r="FG95" s="740"/>
      <c r="FH95" s="740"/>
      <c r="FI95" s="740"/>
      <c r="FJ95" s="740"/>
      <c r="FK95" s="740"/>
      <c r="FL95" s="740"/>
      <c r="FM95" s="740"/>
      <c r="FN95" s="740"/>
      <c r="FO95" s="740"/>
      <c r="FP95" s="740"/>
      <c r="FQ95" s="740"/>
      <c r="FR95" s="740"/>
      <c r="FS95" s="740"/>
      <c r="FT95" s="740"/>
      <c r="FU95" s="740"/>
      <c r="FV95" s="740"/>
      <c r="FW95" s="740"/>
      <c r="FX95" s="740"/>
      <c r="FY95" s="740"/>
      <c r="FZ95" s="740"/>
      <c r="GA95" s="740"/>
      <c r="GB95" s="740"/>
      <c r="GC95" s="740"/>
      <c r="GD95" s="740"/>
      <c r="GE95" s="740"/>
      <c r="GF95" s="740"/>
      <c r="GG95" s="740"/>
      <c r="GH95" s="740"/>
      <c r="GI95" s="740"/>
      <c r="GJ95" s="740"/>
      <c r="GK95" s="740"/>
      <c r="GL95" s="740"/>
      <c r="GM95" s="740"/>
      <c r="GN95" s="740"/>
      <c r="GO95" s="740"/>
      <c r="GP95" s="740"/>
      <c r="GQ95" s="740"/>
      <c r="GR95" s="740"/>
      <c r="GS95" s="740"/>
      <c r="GT95" s="740"/>
      <c r="GU95" s="740"/>
      <c r="GV95" s="740"/>
      <c r="GW95" s="740"/>
    </row>
    <row r="96" spans="1:205" ht="20.100000000000001" customHeight="1" x14ac:dyDescent="0.2">
      <c r="A96" s="2503"/>
      <c r="D96" s="982"/>
      <c r="E96" s="1137"/>
      <c r="F96" s="982"/>
      <c r="G96" s="982"/>
      <c r="H96" s="982"/>
      <c r="I96" s="984"/>
      <c r="J96" s="1076" t="s">
        <v>546</v>
      </c>
      <c r="K96" s="1129">
        <f>L7</f>
        <v>30</v>
      </c>
      <c r="L96" s="1130">
        <f>M7</f>
        <v>0</v>
      </c>
      <c r="M96" s="1129">
        <f>N7</f>
        <v>28</v>
      </c>
      <c r="N96" s="1130">
        <f>O7</f>
        <v>0</v>
      </c>
      <c r="O96" s="1129">
        <f>P7</f>
        <v>26</v>
      </c>
      <c r="P96" s="1138"/>
      <c r="Q96" s="983"/>
      <c r="R96" s="1052"/>
      <c r="S96" s="1052"/>
      <c r="T96" s="1052"/>
      <c r="U96" s="1052"/>
      <c r="V96" s="1052"/>
      <c r="W96" s="1052"/>
      <c r="X96" s="1052"/>
      <c r="Y96" s="1052"/>
      <c r="Z96" s="1052"/>
      <c r="AA96" s="740"/>
      <c r="AB96" s="740"/>
      <c r="AC96" s="740"/>
      <c r="AD96" s="740"/>
      <c r="AE96" s="740"/>
      <c r="AF96" s="740"/>
      <c r="AG96" s="740"/>
      <c r="AH96" s="740"/>
      <c r="AI96" s="740"/>
      <c r="AJ96" s="740"/>
      <c r="AK96" s="740"/>
      <c r="AL96" s="740"/>
      <c r="AM96" s="740"/>
      <c r="AN96" s="740"/>
      <c r="AO96" s="740"/>
      <c r="AP96" s="740"/>
      <c r="AQ96" s="740"/>
      <c r="AR96" s="740"/>
      <c r="AS96" s="740"/>
      <c r="AT96" s="740"/>
      <c r="AU96" s="740"/>
      <c r="AV96" s="740"/>
      <c r="AW96" s="740"/>
      <c r="AX96" s="740"/>
      <c r="AY96" s="740"/>
      <c r="AZ96" s="740"/>
      <c r="BA96" s="740"/>
      <c r="BB96" s="740"/>
      <c r="BC96" s="740"/>
      <c r="BD96" s="740"/>
      <c r="BE96" s="740"/>
      <c r="BF96" s="740"/>
      <c r="BG96" s="740"/>
      <c r="BH96" s="740"/>
      <c r="BI96" s="740"/>
      <c r="BJ96" s="740"/>
      <c r="BK96" s="740"/>
      <c r="BL96" s="740"/>
      <c r="BM96" s="740"/>
      <c r="BN96" s="740"/>
      <c r="BO96" s="740"/>
      <c r="BP96" s="740"/>
      <c r="BQ96" s="740"/>
      <c r="BR96" s="740"/>
      <c r="BS96" s="740"/>
      <c r="BT96" s="740"/>
      <c r="BU96" s="740"/>
      <c r="BV96" s="740"/>
      <c r="BW96" s="740"/>
      <c r="BX96" s="740"/>
      <c r="BY96" s="740"/>
      <c r="BZ96" s="740"/>
      <c r="CA96" s="740"/>
      <c r="CB96" s="740"/>
      <c r="CC96" s="740"/>
      <c r="CD96" s="740"/>
      <c r="CE96" s="740"/>
      <c r="CF96" s="740"/>
      <c r="CG96" s="740"/>
      <c r="CH96" s="740"/>
      <c r="CI96" s="740"/>
      <c r="CJ96" s="740"/>
      <c r="CK96" s="740"/>
      <c r="CL96" s="740"/>
      <c r="CM96" s="740"/>
      <c r="CN96" s="740"/>
      <c r="CO96" s="740"/>
      <c r="CP96" s="740"/>
      <c r="CQ96" s="740"/>
      <c r="CR96" s="740"/>
      <c r="CS96" s="740"/>
      <c r="CT96" s="740"/>
      <c r="CU96" s="740"/>
      <c r="CV96" s="740"/>
      <c r="CW96" s="740"/>
      <c r="CX96" s="740"/>
      <c r="CY96" s="740"/>
      <c r="CZ96" s="740"/>
      <c r="DA96" s="740"/>
      <c r="DB96" s="740"/>
      <c r="DC96" s="740"/>
      <c r="DD96" s="740"/>
      <c r="DE96" s="740"/>
      <c r="DF96" s="740"/>
      <c r="DG96" s="740"/>
      <c r="DH96" s="740"/>
      <c r="DI96" s="740"/>
      <c r="DJ96" s="740"/>
      <c r="DK96" s="740"/>
      <c r="DL96" s="740"/>
      <c r="DM96" s="740"/>
      <c r="DN96" s="740"/>
      <c r="DO96" s="740"/>
      <c r="DP96" s="740"/>
      <c r="DQ96" s="740"/>
      <c r="DR96" s="740"/>
      <c r="DS96" s="740"/>
      <c r="DT96" s="740"/>
      <c r="DU96" s="740"/>
      <c r="DV96" s="740"/>
      <c r="DW96" s="740"/>
      <c r="DX96" s="740"/>
      <c r="DY96" s="740"/>
      <c r="DZ96" s="740"/>
      <c r="EA96" s="740"/>
      <c r="EB96" s="740"/>
      <c r="EC96" s="740"/>
      <c r="ED96" s="740"/>
      <c r="EE96" s="740"/>
      <c r="EF96" s="740"/>
      <c r="EG96" s="740"/>
      <c r="EH96" s="740"/>
      <c r="EI96" s="740"/>
      <c r="EJ96" s="740"/>
      <c r="EK96" s="740"/>
      <c r="EL96" s="740"/>
      <c r="EM96" s="740"/>
      <c r="EN96" s="740"/>
      <c r="EO96" s="740"/>
      <c r="EP96" s="740"/>
      <c r="EQ96" s="740"/>
      <c r="ER96" s="740"/>
      <c r="ES96" s="740"/>
      <c r="ET96" s="740"/>
      <c r="EU96" s="740"/>
      <c r="EV96" s="740"/>
      <c r="EW96" s="740"/>
      <c r="EX96" s="740"/>
      <c r="EY96" s="740"/>
      <c r="EZ96" s="740"/>
      <c r="FA96" s="740"/>
      <c r="FB96" s="740"/>
      <c r="FC96" s="740"/>
      <c r="FD96" s="740"/>
      <c r="FE96" s="740"/>
      <c r="FF96" s="740"/>
      <c r="FG96" s="740"/>
      <c r="FH96" s="740"/>
      <c r="FI96" s="740"/>
      <c r="FJ96" s="740"/>
      <c r="FK96" s="740"/>
      <c r="FL96" s="740"/>
      <c r="FM96" s="740"/>
      <c r="FN96" s="740"/>
      <c r="FO96" s="740"/>
      <c r="FP96" s="740"/>
      <c r="FQ96" s="740"/>
      <c r="FR96" s="740"/>
      <c r="FS96" s="740"/>
      <c r="FT96" s="740"/>
      <c r="FU96" s="740"/>
      <c r="FV96" s="740"/>
      <c r="FW96" s="740"/>
      <c r="FX96" s="740"/>
      <c r="FY96" s="740"/>
      <c r="FZ96" s="740"/>
      <c r="GA96" s="740"/>
      <c r="GB96" s="740"/>
      <c r="GC96" s="740"/>
      <c r="GD96" s="740"/>
      <c r="GE96" s="740"/>
      <c r="GF96" s="740"/>
      <c r="GG96" s="740"/>
      <c r="GH96" s="740"/>
      <c r="GI96" s="740"/>
      <c r="GJ96" s="740"/>
      <c r="GK96" s="740"/>
      <c r="GL96" s="740"/>
      <c r="GM96" s="740"/>
      <c r="GN96" s="740"/>
      <c r="GO96" s="740"/>
      <c r="GP96" s="740"/>
      <c r="GQ96" s="740"/>
      <c r="GR96" s="740"/>
      <c r="GS96" s="740"/>
      <c r="GT96" s="740"/>
      <c r="GU96" s="740"/>
      <c r="GV96" s="740"/>
      <c r="GW96" s="740"/>
    </row>
    <row r="97" spans="1:205" ht="20.100000000000001" customHeight="1" thickBot="1" x14ac:dyDescent="0.25">
      <c r="A97" s="2503"/>
      <c r="D97" s="982"/>
      <c r="E97" s="1139"/>
      <c r="F97" s="1140"/>
      <c r="G97" s="1140"/>
      <c r="H97" s="1140"/>
      <c r="I97" s="1141"/>
      <c r="J97" s="1142"/>
      <c r="K97" s="1143" t="s">
        <v>534</v>
      </c>
      <c r="L97" s="1144" t="s">
        <v>211</v>
      </c>
      <c r="M97" s="1143" t="s">
        <v>534</v>
      </c>
      <c r="N97" s="1144" t="s">
        <v>211</v>
      </c>
      <c r="O97" s="1143" t="s">
        <v>534</v>
      </c>
      <c r="P97" s="1145" t="s">
        <v>211</v>
      </c>
      <c r="Q97" s="983"/>
      <c r="R97" s="1052"/>
      <c r="S97" s="1052"/>
      <c r="T97" s="1052"/>
      <c r="U97" s="1052"/>
      <c r="V97" s="1052"/>
      <c r="W97" s="1052"/>
      <c r="X97" s="1052"/>
      <c r="Y97" s="1052"/>
      <c r="Z97" s="1052"/>
      <c r="AA97" s="740"/>
      <c r="AB97" s="740"/>
      <c r="AC97" s="740"/>
      <c r="AD97" s="740"/>
      <c r="AE97" s="740"/>
      <c r="AF97" s="740"/>
      <c r="AG97" s="740"/>
      <c r="AH97" s="740"/>
      <c r="AI97" s="740"/>
      <c r="AJ97" s="740"/>
      <c r="AK97" s="740"/>
      <c r="AL97" s="740"/>
      <c r="AM97" s="740"/>
      <c r="AN97" s="740"/>
      <c r="AO97" s="740"/>
      <c r="AP97" s="740"/>
      <c r="AQ97" s="740"/>
      <c r="AR97" s="740"/>
      <c r="AS97" s="740"/>
      <c r="AT97" s="740"/>
      <c r="AU97" s="740"/>
      <c r="AV97" s="740"/>
      <c r="AW97" s="740"/>
      <c r="AX97" s="740"/>
      <c r="AY97" s="740"/>
      <c r="AZ97" s="740"/>
      <c r="BA97" s="740"/>
      <c r="BB97" s="740"/>
      <c r="BC97" s="740"/>
      <c r="BD97" s="740"/>
      <c r="BE97" s="740"/>
      <c r="BF97" s="740"/>
      <c r="BG97" s="740"/>
      <c r="BH97" s="740"/>
      <c r="BI97" s="740"/>
      <c r="BJ97" s="740"/>
      <c r="BK97" s="740"/>
      <c r="BL97" s="740"/>
      <c r="BM97" s="740"/>
      <c r="BN97" s="740"/>
      <c r="BO97" s="740"/>
      <c r="BP97" s="740"/>
      <c r="BQ97" s="740"/>
      <c r="BR97" s="740"/>
      <c r="BS97" s="740"/>
      <c r="BT97" s="740"/>
      <c r="BU97" s="740"/>
      <c r="BV97" s="740"/>
      <c r="BW97" s="740"/>
      <c r="BX97" s="740"/>
      <c r="BY97" s="740"/>
      <c r="BZ97" s="740"/>
      <c r="CA97" s="740"/>
      <c r="CB97" s="740"/>
      <c r="CC97" s="740"/>
      <c r="CD97" s="740"/>
      <c r="CE97" s="740"/>
      <c r="CF97" s="740"/>
      <c r="CG97" s="740"/>
      <c r="CH97" s="740"/>
      <c r="CI97" s="740"/>
      <c r="CJ97" s="740"/>
      <c r="CK97" s="740"/>
      <c r="CL97" s="740"/>
      <c r="CM97" s="740"/>
      <c r="CN97" s="740"/>
      <c r="CO97" s="740"/>
      <c r="CP97" s="740"/>
      <c r="CQ97" s="740"/>
      <c r="CR97" s="740"/>
      <c r="CS97" s="740"/>
      <c r="CT97" s="740"/>
      <c r="CU97" s="740"/>
      <c r="CV97" s="740"/>
      <c r="CW97" s="740"/>
      <c r="CX97" s="740"/>
      <c r="CY97" s="740"/>
      <c r="CZ97" s="740"/>
      <c r="DA97" s="740"/>
      <c r="DB97" s="740"/>
      <c r="DC97" s="740"/>
      <c r="DD97" s="740"/>
      <c r="DE97" s="740"/>
      <c r="DF97" s="740"/>
      <c r="DG97" s="740"/>
      <c r="DH97" s="740"/>
      <c r="DI97" s="740"/>
      <c r="DJ97" s="740"/>
      <c r="DK97" s="740"/>
      <c r="DL97" s="740"/>
      <c r="DM97" s="740"/>
      <c r="DN97" s="740"/>
      <c r="DO97" s="740"/>
      <c r="DP97" s="740"/>
      <c r="DQ97" s="740"/>
      <c r="DR97" s="740"/>
      <c r="DS97" s="740"/>
      <c r="DT97" s="740"/>
      <c r="DU97" s="740"/>
      <c r="DV97" s="740"/>
      <c r="DW97" s="740"/>
      <c r="DX97" s="740"/>
      <c r="DY97" s="740"/>
      <c r="DZ97" s="740"/>
      <c r="EA97" s="740"/>
      <c r="EB97" s="740"/>
      <c r="EC97" s="740"/>
      <c r="ED97" s="740"/>
      <c r="EE97" s="740"/>
      <c r="EF97" s="740"/>
      <c r="EG97" s="740"/>
      <c r="EH97" s="740"/>
      <c r="EI97" s="740"/>
      <c r="EJ97" s="740"/>
      <c r="EK97" s="740"/>
      <c r="EL97" s="740"/>
      <c r="EM97" s="740"/>
      <c r="EN97" s="740"/>
      <c r="EO97" s="740"/>
      <c r="EP97" s="740"/>
      <c r="EQ97" s="740"/>
      <c r="ER97" s="740"/>
      <c r="ES97" s="740"/>
      <c r="ET97" s="740"/>
      <c r="EU97" s="740"/>
      <c r="EV97" s="740"/>
      <c r="EW97" s="740"/>
      <c r="EX97" s="740"/>
      <c r="EY97" s="740"/>
      <c r="EZ97" s="740"/>
      <c r="FA97" s="740"/>
      <c r="FB97" s="740"/>
      <c r="FC97" s="740"/>
      <c r="FD97" s="740"/>
      <c r="FE97" s="740"/>
      <c r="FF97" s="740"/>
      <c r="FG97" s="740"/>
      <c r="FH97" s="740"/>
      <c r="FI97" s="740"/>
      <c r="FJ97" s="740"/>
      <c r="FK97" s="740"/>
      <c r="FL97" s="740"/>
      <c r="FM97" s="740"/>
      <c r="FN97" s="740"/>
      <c r="FO97" s="740"/>
      <c r="FP97" s="740"/>
      <c r="FQ97" s="740"/>
      <c r="FR97" s="740"/>
      <c r="FS97" s="740"/>
      <c r="FT97" s="740"/>
      <c r="FU97" s="740"/>
      <c r="FV97" s="740"/>
      <c r="FW97" s="740"/>
      <c r="FX97" s="740"/>
      <c r="FY97" s="740"/>
      <c r="FZ97" s="740"/>
      <c r="GA97" s="740"/>
      <c r="GB97" s="740"/>
      <c r="GC97" s="740"/>
      <c r="GD97" s="740"/>
      <c r="GE97" s="740"/>
      <c r="GF97" s="740"/>
      <c r="GG97" s="740"/>
      <c r="GH97" s="740"/>
      <c r="GI97" s="740"/>
      <c r="GJ97" s="740"/>
      <c r="GK97" s="740"/>
      <c r="GL97" s="740"/>
      <c r="GM97" s="740"/>
      <c r="GN97" s="740"/>
      <c r="GO97" s="740"/>
      <c r="GP97" s="740"/>
      <c r="GQ97" s="740"/>
      <c r="GR97" s="740"/>
      <c r="GS97" s="740"/>
      <c r="GT97" s="740"/>
      <c r="GU97" s="740"/>
      <c r="GV97" s="740"/>
      <c r="GW97" s="740"/>
    </row>
    <row r="98" spans="1:205" ht="20.100000000000001" customHeight="1" x14ac:dyDescent="0.2">
      <c r="A98" s="2503"/>
      <c r="D98" s="982"/>
      <c r="E98" s="1164" t="s">
        <v>528</v>
      </c>
      <c r="F98" s="1074"/>
      <c r="G98" s="1074"/>
      <c r="H98" s="1074"/>
      <c r="I98" s="1074"/>
      <c r="J98" s="1074"/>
      <c r="K98" s="1132">
        <f>$M$93</f>
        <v>6.7833333333333332</v>
      </c>
      <c r="L98" s="1090">
        <f>M89</f>
        <v>110</v>
      </c>
      <c r="M98" s="1132">
        <f>$M$93</f>
        <v>6.7833333333333332</v>
      </c>
      <c r="N98" s="1090">
        <f>M89</f>
        <v>110</v>
      </c>
      <c r="O98" s="1132">
        <f>$M$93</f>
        <v>6.7833333333333332</v>
      </c>
      <c r="P98" s="1165">
        <f>M89</f>
        <v>110</v>
      </c>
      <c r="Q98" s="1054"/>
      <c r="R98" s="1052"/>
      <c r="S98" s="1052"/>
      <c r="T98" s="1052"/>
      <c r="U98" s="1052"/>
      <c r="V98" s="1052"/>
      <c r="W98" s="1052"/>
      <c r="X98" s="1052"/>
      <c r="Y98" s="1052"/>
      <c r="Z98" s="1052"/>
      <c r="AA98" s="740"/>
      <c r="AB98" s="740"/>
      <c r="AC98" s="740"/>
      <c r="AD98" s="740"/>
      <c r="AE98" s="740"/>
      <c r="AF98" s="740"/>
      <c r="AG98" s="740"/>
      <c r="AH98" s="740"/>
      <c r="AI98" s="740"/>
      <c r="AJ98" s="740"/>
      <c r="AK98" s="740"/>
      <c r="AL98" s="740"/>
      <c r="AM98" s="740"/>
      <c r="AN98" s="740"/>
      <c r="AO98" s="740"/>
      <c r="AP98" s="740"/>
      <c r="AQ98" s="740"/>
      <c r="AR98" s="740"/>
      <c r="AS98" s="740"/>
      <c r="AT98" s="740"/>
      <c r="AU98" s="740"/>
      <c r="AV98" s="740"/>
      <c r="AW98" s="740"/>
      <c r="AX98" s="740"/>
      <c r="AY98" s="740"/>
      <c r="AZ98" s="740"/>
      <c r="BA98" s="740"/>
      <c r="BB98" s="740"/>
      <c r="BC98" s="740"/>
      <c r="BD98" s="740"/>
      <c r="BE98" s="740"/>
      <c r="BF98" s="740"/>
      <c r="BG98" s="740"/>
      <c r="BH98" s="740"/>
      <c r="BI98" s="740"/>
      <c r="BJ98" s="740"/>
      <c r="BK98" s="740"/>
      <c r="BL98" s="740"/>
      <c r="BM98" s="740"/>
      <c r="BN98" s="740"/>
      <c r="BO98" s="740"/>
      <c r="BP98" s="740"/>
      <c r="BQ98" s="740"/>
      <c r="BR98" s="740"/>
      <c r="BS98" s="740"/>
      <c r="BT98" s="740"/>
      <c r="BU98" s="740"/>
      <c r="BV98" s="740"/>
      <c r="BW98" s="740"/>
      <c r="BX98" s="740"/>
      <c r="BY98" s="740"/>
      <c r="BZ98" s="740"/>
      <c r="CA98" s="740"/>
      <c r="CB98" s="740"/>
      <c r="CC98" s="740"/>
      <c r="CD98" s="740"/>
      <c r="CE98" s="740"/>
      <c r="CF98" s="740"/>
      <c r="CG98" s="740"/>
      <c r="CH98" s="740"/>
      <c r="CI98" s="740"/>
      <c r="CJ98" s="740"/>
      <c r="CK98" s="740"/>
      <c r="CL98" s="740"/>
      <c r="CM98" s="740"/>
      <c r="CN98" s="740"/>
      <c r="CO98" s="740"/>
      <c r="CP98" s="740"/>
      <c r="CQ98" s="740"/>
      <c r="CR98" s="740"/>
      <c r="CS98" s="740"/>
      <c r="CT98" s="740"/>
      <c r="CU98" s="740"/>
      <c r="CV98" s="740"/>
      <c r="CW98" s="740"/>
      <c r="CX98" s="740"/>
      <c r="CY98" s="740"/>
      <c r="CZ98" s="740"/>
      <c r="DA98" s="740"/>
      <c r="DB98" s="740"/>
      <c r="DC98" s="740"/>
      <c r="DD98" s="740"/>
      <c r="DE98" s="740"/>
      <c r="DF98" s="740"/>
      <c r="DG98" s="740"/>
      <c r="DH98" s="740"/>
      <c r="DI98" s="740"/>
      <c r="DJ98" s="740"/>
      <c r="DK98" s="740"/>
      <c r="DL98" s="740"/>
      <c r="DM98" s="740"/>
      <c r="DN98" s="740"/>
      <c r="DO98" s="740"/>
      <c r="DP98" s="740"/>
      <c r="DQ98" s="740"/>
      <c r="DR98" s="740"/>
      <c r="DS98" s="740"/>
      <c r="DT98" s="740"/>
      <c r="DU98" s="740"/>
      <c r="DV98" s="740"/>
      <c r="DW98" s="740"/>
      <c r="DX98" s="740"/>
      <c r="DY98" s="740"/>
      <c r="DZ98" s="740"/>
      <c r="EA98" s="740"/>
      <c r="EB98" s="740"/>
      <c r="EC98" s="740"/>
      <c r="ED98" s="740"/>
      <c r="EE98" s="740"/>
      <c r="EF98" s="740"/>
      <c r="EG98" s="740"/>
      <c r="EH98" s="740"/>
      <c r="EI98" s="740"/>
      <c r="EJ98" s="740"/>
      <c r="EK98" s="740"/>
      <c r="EL98" s="740"/>
      <c r="EM98" s="740"/>
      <c r="EN98" s="740"/>
      <c r="EO98" s="740"/>
      <c r="EP98" s="740"/>
      <c r="EQ98" s="740"/>
      <c r="ER98" s="740"/>
      <c r="ES98" s="740"/>
      <c r="ET98" s="740"/>
      <c r="EU98" s="740"/>
      <c r="EV98" s="740"/>
      <c r="EW98" s="740"/>
      <c r="EX98" s="740"/>
      <c r="EY98" s="740"/>
      <c r="EZ98" s="740"/>
      <c r="FA98" s="740"/>
      <c r="FB98" s="740"/>
      <c r="FC98" s="740"/>
      <c r="FD98" s="740"/>
      <c r="FE98" s="740"/>
      <c r="FF98" s="740"/>
      <c r="FG98" s="740"/>
      <c r="FH98" s="740"/>
      <c r="FI98" s="740"/>
      <c r="FJ98" s="740"/>
      <c r="FK98" s="740"/>
      <c r="FL98" s="740"/>
      <c r="FM98" s="740"/>
      <c r="FN98" s="740"/>
      <c r="FO98" s="740"/>
      <c r="FP98" s="740"/>
      <c r="FQ98" s="740"/>
      <c r="FR98" s="740"/>
      <c r="FS98" s="740"/>
      <c r="FT98" s="740"/>
      <c r="FU98" s="740"/>
      <c r="FV98" s="740"/>
      <c r="FW98" s="740"/>
      <c r="FX98" s="740"/>
      <c r="FY98" s="740"/>
      <c r="FZ98" s="740"/>
      <c r="GA98" s="740"/>
      <c r="GB98" s="740"/>
      <c r="GC98" s="740"/>
      <c r="GD98" s="740"/>
      <c r="GE98" s="740"/>
      <c r="GF98" s="740"/>
      <c r="GG98" s="740"/>
      <c r="GH98" s="740"/>
      <c r="GI98" s="740"/>
      <c r="GJ98" s="740"/>
      <c r="GK98" s="740"/>
      <c r="GL98" s="740"/>
      <c r="GM98" s="740"/>
      <c r="GN98" s="740"/>
      <c r="GO98" s="740"/>
      <c r="GP98" s="740"/>
      <c r="GQ98" s="740"/>
      <c r="GR98" s="740"/>
      <c r="GS98" s="740"/>
      <c r="GT98" s="740"/>
      <c r="GU98" s="740"/>
      <c r="GV98" s="740"/>
      <c r="GW98" s="740"/>
    </row>
    <row r="99" spans="1:205" ht="20.100000000000001" customHeight="1" x14ac:dyDescent="0.2">
      <c r="A99" s="2503"/>
      <c r="D99" s="982"/>
      <c r="E99" s="1166" t="str">
        <f>"Aufzuchtdauer insges. (ab "&amp;$M$89&amp;" Tage)"</f>
        <v>Aufzuchtdauer insges. (ab 110 Tage)</v>
      </c>
      <c r="F99" s="1069"/>
      <c r="G99" s="1078"/>
      <c r="H99" s="1079"/>
      <c r="I99" s="1080"/>
      <c r="J99" s="1070"/>
      <c r="K99" s="1068"/>
      <c r="L99" s="1081">
        <f>K96*30.42-$M$89</f>
        <v>802.6</v>
      </c>
      <c r="M99" s="1068"/>
      <c r="N99" s="1081">
        <f>M96*30.42-$M$89</f>
        <v>741.76</v>
      </c>
      <c r="O99" s="1068"/>
      <c r="P99" s="1167">
        <f>O96*30.42-$M$89</f>
        <v>680.92000000000007</v>
      </c>
      <c r="Q99" s="1054"/>
      <c r="R99" s="1052"/>
      <c r="S99" s="1052"/>
      <c r="T99" s="1052"/>
      <c r="U99" s="1052"/>
      <c r="V99" s="1052"/>
      <c r="W99" s="1052"/>
      <c r="X99" s="1052"/>
      <c r="Y99" s="1052"/>
      <c r="Z99" s="1052"/>
      <c r="AA99" s="740"/>
      <c r="AB99" s="740"/>
      <c r="AC99" s="740"/>
      <c r="AD99" s="740"/>
      <c r="AE99" s="740"/>
      <c r="AF99" s="740"/>
      <c r="AG99" s="740"/>
      <c r="AH99" s="740"/>
      <c r="AI99" s="740"/>
      <c r="AJ99" s="740"/>
      <c r="AK99" s="740"/>
      <c r="AL99" s="740"/>
      <c r="AM99" s="740"/>
      <c r="AN99" s="740"/>
      <c r="AO99" s="740"/>
      <c r="AP99" s="740"/>
      <c r="AQ99" s="740"/>
      <c r="AR99" s="740"/>
      <c r="AS99" s="740"/>
      <c r="AT99" s="740"/>
      <c r="AU99" s="740"/>
      <c r="AV99" s="740"/>
      <c r="AW99" s="740"/>
      <c r="AX99" s="740"/>
      <c r="AY99" s="740"/>
      <c r="AZ99" s="740"/>
      <c r="BA99" s="740"/>
      <c r="BB99" s="740"/>
      <c r="BC99" s="740"/>
      <c r="BD99" s="740"/>
      <c r="BE99" s="740"/>
      <c r="BF99" s="740"/>
      <c r="BG99" s="740"/>
      <c r="BH99" s="740"/>
      <c r="BI99" s="740"/>
      <c r="BJ99" s="740"/>
      <c r="BK99" s="740"/>
      <c r="BL99" s="740"/>
      <c r="BM99" s="740"/>
      <c r="BN99" s="740"/>
      <c r="BO99" s="740"/>
      <c r="BP99" s="740"/>
      <c r="BQ99" s="740"/>
      <c r="BR99" s="740"/>
      <c r="BS99" s="740"/>
      <c r="BT99" s="740"/>
      <c r="BU99" s="740"/>
      <c r="BV99" s="740"/>
      <c r="BW99" s="740"/>
      <c r="BX99" s="740"/>
      <c r="BY99" s="740"/>
      <c r="BZ99" s="740"/>
      <c r="CA99" s="740"/>
      <c r="CB99" s="740"/>
      <c r="CC99" s="740"/>
      <c r="CD99" s="740"/>
      <c r="CE99" s="740"/>
      <c r="CF99" s="740"/>
      <c r="CG99" s="740"/>
      <c r="CH99" s="740"/>
      <c r="CI99" s="740"/>
      <c r="CJ99" s="740"/>
      <c r="CK99" s="740"/>
      <c r="CL99" s="740"/>
      <c r="CM99" s="740"/>
      <c r="CN99" s="740"/>
      <c r="CO99" s="740"/>
      <c r="CP99" s="740"/>
      <c r="CQ99" s="740"/>
      <c r="CR99" s="740"/>
      <c r="CS99" s="740"/>
      <c r="CT99" s="740"/>
      <c r="CU99" s="740"/>
      <c r="CV99" s="740"/>
      <c r="CW99" s="740"/>
      <c r="CX99" s="740"/>
      <c r="CY99" s="740"/>
      <c r="CZ99" s="740"/>
      <c r="DA99" s="740"/>
      <c r="DB99" s="740"/>
      <c r="DC99" s="740"/>
      <c r="DD99" s="740"/>
      <c r="DE99" s="740"/>
      <c r="DF99" s="740"/>
      <c r="DG99" s="740"/>
      <c r="DH99" s="740"/>
      <c r="DI99" s="740"/>
      <c r="DJ99" s="740"/>
      <c r="DK99" s="740"/>
      <c r="DL99" s="740"/>
      <c r="DM99" s="740"/>
      <c r="DN99" s="740"/>
      <c r="DO99" s="740"/>
      <c r="DP99" s="740"/>
      <c r="DQ99" s="740"/>
      <c r="DR99" s="740"/>
      <c r="DS99" s="740"/>
      <c r="DT99" s="740"/>
      <c r="DU99" s="740"/>
      <c r="DV99" s="740"/>
      <c r="DW99" s="740"/>
      <c r="DX99" s="740"/>
      <c r="DY99" s="740"/>
      <c r="DZ99" s="740"/>
      <c r="EA99" s="740"/>
      <c r="EB99" s="740"/>
      <c r="EC99" s="740"/>
      <c r="ED99" s="740"/>
      <c r="EE99" s="740"/>
      <c r="EF99" s="740"/>
      <c r="EG99" s="740"/>
      <c r="EH99" s="740"/>
      <c r="EI99" s="740"/>
      <c r="EJ99" s="740"/>
      <c r="EK99" s="740"/>
      <c r="EL99" s="740"/>
      <c r="EM99" s="740"/>
      <c r="EN99" s="740"/>
      <c r="EO99" s="740"/>
      <c r="EP99" s="740"/>
      <c r="EQ99" s="740"/>
      <c r="ER99" s="740"/>
      <c r="ES99" s="740"/>
      <c r="ET99" s="740"/>
      <c r="EU99" s="740"/>
      <c r="EV99" s="740"/>
      <c r="EW99" s="740"/>
      <c r="EX99" s="740"/>
      <c r="EY99" s="740"/>
      <c r="EZ99" s="740"/>
      <c r="FA99" s="740"/>
      <c r="FB99" s="740"/>
      <c r="FC99" s="740"/>
      <c r="FD99" s="740"/>
      <c r="FE99" s="740"/>
      <c r="FF99" s="740"/>
      <c r="FG99" s="740"/>
      <c r="FH99" s="740"/>
      <c r="FI99" s="740"/>
      <c r="FJ99" s="740"/>
      <c r="FK99" s="740"/>
      <c r="FL99" s="740"/>
      <c r="FM99" s="740"/>
      <c r="FN99" s="740"/>
      <c r="FO99" s="740"/>
      <c r="FP99" s="740"/>
      <c r="FQ99" s="740"/>
      <c r="FR99" s="740"/>
      <c r="FS99" s="740"/>
      <c r="FT99" s="740"/>
      <c r="FU99" s="740"/>
      <c r="FV99" s="740"/>
      <c r="FW99" s="740"/>
      <c r="FX99" s="740"/>
      <c r="FY99" s="740"/>
      <c r="FZ99" s="740"/>
      <c r="GA99" s="740"/>
      <c r="GB99" s="740"/>
      <c r="GC99" s="740"/>
      <c r="GD99" s="740"/>
      <c r="GE99" s="740"/>
      <c r="GF99" s="740"/>
      <c r="GG99" s="740"/>
      <c r="GH99" s="740"/>
      <c r="GI99" s="740"/>
      <c r="GJ99" s="740"/>
      <c r="GK99" s="740"/>
      <c r="GL99" s="740"/>
      <c r="GM99" s="740"/>
      <c r="GN99" s="740"/>
      <c r="GO99" s="740"/>
      <c r="GP99" s="740"/>
      <c r="GQ99" s="740"/>
      <c r="GR99" s="740"/>
      <c r="GS99" s="740"/>
      <c r="GT99" s="740"/>
      <c r="GU99" s="740"/>
      <c r="GV99" s="740"/>
      <c r="GW99" s="740"/>
    </row>
    <row r="100" spans="1:205" ht="20.100000000000001" customHeight="1" x14ac:dyDescent="0.2">
      <c r="A100" s="2503"/>
      <c r="D100" s="982"/>
      <c r="E100" s="1137" t="s">
        <v>559</v>
      </c>
      <c r="F100" s="982"/>
      <c r="G100" s="1082"/>
      <c r="H100" s="1083"/>
      <c r="I100" s="1084"/>
      <c r="J100" s="1085"/>
      <c r="K100" s="986"/>
      <c r="L100" s="1086">
        <f>L99*G112/100</f>
        <v>321.04000000000002</v>
      </c>
      <c r="M100" s="986"/>
      <c r="N100" s="1086">
        <f>N99*H112/100</f>
        <v>222.52799999999999</v>
      </c>
      <c r="O100" s="986"/>
      <c r="P100" s="1168">
        <f>P99*I112/100</f>
        <v>136.18400000000003</v>
      </c>
      <c r="Q100" s="1054"/>
      <c r="R100" s="1052"/>
      <c r="S100" s="1052"/>
      <c r="T100" s="1052"/>
      <c r="U100" s="1052"/>
      <c r="V100" s="1052"/>
      <c r="W100" s="1052"/>
      <c r="X100" s="1052"/>
      <c r="Y100" s="1052"/>
      <c r="Z100" s="1052"/>
      <c r="AA100" s="740"/>
      <c r="AB100" s="740"/>
      <c r="AC100" s="740"/>
      <c r="AD100" s="740"/>
      <c r="AE100" s="740"/>
      <c r="AF100" s="740"/>
      <c r="AG100" s="740"/>
      <c r="AH100" s="740"/>
      <c r="AI100" s="740"/>
      <c r="AJ100" s="740"/>
      <c r="AK100" s="740"/>
      <c r="AL100" s="740"/>
      <c r="AM100" s="740"/>
      <c r="AN100" s="740"/>
      <c r="AO100" s="740"/>
      <c r="AP100" s="740"/>
      <c r="AQ100" s="740"/>
      <c r="AR100" s="740"/>
      <c r="AS100" s="740"/>
      <c r="AT100" s="740"/>
      <c r="AU100" s="740"/>
      <c r="AV100" s="740"/>
      <c r="AW100" s="740"/>
      <c r="AX100" s="740"/>
      <c r="AY100" s="740"/>
      <c r="AZ100" s="740"/>
      <c r="BA100" s="740"/>
      <c r="BB100" s="740"/>
      <c r="BC100" s="740"/>
      <c r="BD100" s="740"/>
      <c r="BE100" s="740"/>
      <c r="BF100" s="740"/>
      <c r="BG100" s="740"/>
      <c r="BH100" s="740"/>
      <c r="BI100" s="740"/>
      <c r="BJ100" s="740"/>
      <c r="BK100" s="740"/>
      <c r="BL100" s="740"/>
      <c r="BM100" s="740"/>
      <c r="BN100" s="740"/>
      <c r="BO100" s="740"/>
      <c r="BP100" s="740"/>
      <c r="BQ100" s="740"/>
      <c r="BR100" s="740"/>
      <c r="BS100" s="740"/>
      <c r="BT100" s="740"/>
      <c r="BU100" s="740"/>
      <c r="BV100" s="740"/>
      <c r="BW100" s="740"/>
      <c r="BX100" s="740"/>
      <c r="BY100" s="740"/>
      <c r="BZ100" s="740"/>
      <c r="CA100" s="740"/>
      <c r="CB100" s="740"/>
      <c r="CC100" s="740"/>
      <c r="CD100" s="740"/>
      <c r="CE100" s="740"/>
      <c r="CF100" s="740"/>
      <c r="CG100" s="740"/>
      <c r="CH100" s="740"/>
      <c r="CI100" s="740"/>
      <c r="CJ100" s="740"/>
      <c r="CK100" s="740"/>
      <c r="CL100" s="740"/>
      <c r="CM100" s="740"/>
      <c r="CN100" s="740"/>
      <c r="CO100" s="740"/>
      <c r="CP100" s="740"/>
      <c r="CQ100" s="740"/>
      <c r="CR100" s="740"/>
      <c r="CS100" s="740"/>
      <c r="CT100" s="740"/>
      <c r="CU100" s="740"/>
      <c r="CV100" s="740"/>
      <c r="CW100" s="740"/>
      <c r="CX100" s="740"/>
      <c r="CY100" s="740"/>
      <c r="CZ100" s="740"/>
      <c r="DA100" s="740"/>
      <c r="DB100" s="740"/>
      <c r="DC100" s="740"/>
      <c r="DD100" s="740"/>
      <c r="DE100" s="740"/>
      <c r="DF100" s="740"/>
      <c r="DG100" s="740"/>
      <c r="DH100" s="740"/>
      <c r="DI100" s="740"/>
      <c r="DJ100" s="740"/>
      <c r="DK100" s="740"/>
      <c r="DL100" s="740"/>
      <c r="DM100" s="740"/>
      <c r="DN100" s="740"/>
      <c r="DO100" s="740"/>
      <c r="DP100" s="740"/>
      <c r="DQ100" s="740"/>
      <c r="DR100" s="740"/>
      <c r="DS100" s="740"/>
      <c r="DT100" s="740"/>
      <c r="DU100" s="740"/>
      <c r="DV100" s="740"/>
      <c r="DW100" s="740"/>
      <c r="DX100" s="740"/>
      <c r="DY100" s="740"/>
      <c r="DZ100" s="740"/>
      <c r="EA100" s="740"/>
      <c r="EB100" s="740"/>
      <c r="EC100" s="740"/>
      <c r="ED100" s="740"/>
      <c r="EE100" s="740"/>
      <c r="EF100" s="740"/>
      <c r="EG100" s="740"/>
      <c r="EH100" s="740"/>
      <c r="EI100" s="740"/>
      <c r="EJ100" s="740"/>
      <c r="EK100" s="740"/>
      <c r="EL100" s="740"/>
      <c r="EM100" s="740"/>
      <c r="EN100" s="740"/>
      <c r="EO100" s="740"/>
      <c r="EP100" s="740"/>
      <c r="EQ100" s="740"/>
      <c r="ER100" s="740"/>
      <c r="ES100" s="740"/>
      <c r="ET100" s="740"/>
      <c r="EU100" s="740"/>
      <c r="EV100" s="740"/>
      <c r="EW100" s="740"/>
      <c r="EX100" s="740"/>
      <c r="EY100" s="740"/>
      <c r="EZ100" s="740"/>
      <c r="FA100" s="740"/>
      <c r="FB100" s="740"/>
      <c r="FC100" s="740"/>
      <c r="FD100" s="740"/>
      <c r="FE100" s="740"/>
      <c r="FF100" s="740"/>
      <c r="FG100" s="740"/>
      <c r="FH100" s="740"/>
      <c r="FI100" s="740"/>
      <c r="FJ100" s="740"/>
      <c r="FK100" s="740"/>
      <c r="FL100" s="740"/>
      <c r="FM100" s="740"/>
      <c r="FN100" s="740"/>
      <c r="FO100" s="740"/>
      <c r="FP100" s="740"/>
      <c r="FQ100" s="740"/>
      <c r="FR100" s="740"/>
      <c r="FS100" s="740"/>
      <c r="FT100" s="740"/>
      <c r="FU100" s="740"/>
      <c r="FV100" s="740"/>
      <c r="FW100" s="740"/>
      <c r="FX100" s="740"/>
      <c r="FY100" s="740"/>
      <c r="FZ100" s="740"/>
      <c r="GA100" s="740"/>
      <c r="GB100" s="740"/>
      <c r="GC100" s="740"/>
      <c r="GD100" s="740"/>
      <c r="GE100" s="740"/>
      <c r="GF100" s="740"/>
      <c r="GG100" s="740"/>
      <c r="GH100" s="740"/>
      <c r="GI100" s="740"/>
      <c r="GJ100" s="740"/>
      <c r="GK100" s="740"/>
      <c r="GL100" s="740"/>
      <c r="GM100" s="740"/>
      <c r="GN100" s="740"/>
      <c r="GO100" s="740"/>
      <c r="GP100" s="740"/>
      <c r="GQ100" s="740"/>
      <c r="GR100" s="740"/>
      <c r="GS100" s="740"/>
      <c r="GT100" s="740"/>
      <c r="GU100" s="740"/>
      <c r="GV100" s="740"/>
      <c r="GW100" s="740"/>
    </row>
    <row r="101" spans="1:205" ht="20.100000000000001" customHeight="1" x14ac:dyDescent="0.2">
      <c r="A101" s="2503"/>
      <c r="D101" s="982"/>
      <c r="E101" s="1169" t="s">
        <v>560</v>
      </c>
      <c r="F101" s="1074"/>
      <c r="G101" s="1087"/>
      <c r="H101" s="1088"/>
      <c r="I101" s="1089"/>
      <c r="J101" s="1075"/>
      <c r="K101" s="1073"/>
      <c r="L101" s="1090">
        <f>L99-L100</f>
        <v>481.56</v>
      </c>
      <c r="M101" s="1073"/>
      <c r="N101" s="1090">
        <f>N99-N100</f>
        <v>519.23199999999997</v>
      </c>
      <c r="O101" s="1073"/>
      <c r="P101" s="1170">
        <f>P99-P100</f>
        <v>544.7360000000001</v>
      </c>
      <c r="Q101" s="1054"/>
      <c r="R101" s="1052"/>
      <c r="S101" s="1052"/>
      <c r="T101" s="1052"/>
      <c r="U101" s="1052"/>
      <c r="V101" s="1052"/>
      <c r="W101" s="1052"/>
      <c r="X101" s="1052"/>
      <c r="Y101" s="1052"/>
      <c r="Z101" s="1052"/>
      <c r="AA101" s="740"/>
      <c r="AB101" s="740"/>
      <c r="AC101" s="740"/>
      <c r="AD101" s="740"/>
      <c r="AE101" s="740"/>
      <c r="AF101" s="740"/>
      <c r="AG101" s="740"/>
      <c r="AH101" s="740"/>
      <c r="AI101" s="740"/>
      <c r="AJ101" s="740"/>
      <c r="AK101" s="740"/>
      <c r="AL101" s="740"/>
      <c r="AM101" s="740"/>
      <c r="AN101" s="740"/>
      <c r="AO101" s="740"/>
      <c r="AP101" s="740"/>
      <c r="AQ101" s="740"/>
      <c r="AR101" s="740"/>
      <c r="AS101" s="740"/>
      <c r="AT101" s="740"/>
      <c r="AU101" s="740"/>
      <c r="AV101" s="740"/>
      <c r="AW101" s="740"/>
      <c r="AX101" s="740"/>
      <c r="AY101" s="740"/>
      <c r="AZ101" s="740"/>
      <c r="BA101" s="740"/>
      <c r="BB101" s="740"/>
      <c r="BC101" s="740"/>
      <c r="BD101" s="740"/>
      <c r="BE101" s="740"/>
      <c r="BF101" s="740"/>
      <c r="BG101" s="740"/>
      <c r="BH101" s="740"/>
      <c r="BI101" s="740"/>
      <c r="BJ101" s="740"/>
      <c r="BK101" s="740"/>
      <c r="BL101" s="740"/>
      <c r="BM101" s="740"/>
      <c r="BN101" s="740"/>
      <c r="BO101" s="740"/>
      <c r="BP101" s="740"/>
      <c r="BQ101" s="740"/>
      <c r="BR101" s="740"/>
      <c r="BS101" s="740"/>
      <c r="BT101" s="740"/>
      <c r="BU101" s="740"/>
      <c r="BV101" s="740"/>
      <c r="BW101" s="740"/>
      <c r="BX101" s="740"/>
      <c r="BY101" s="740"/>
      <c r="BZ101" s="740"/>
      <c r="CA101" s="740"/>
      <c r="CB101" s="740"/>
      <c r="CC101" s="740"/>
      <c r="CD101" s="740"/>
      <c r="CE101" s="740"/>
      <c r="CF101" s="740"/>
      <c r="CG101" s="740"/>
      <c r="CH101" s="740"/>
      <c r="CI101" s="740"/>
      <c r="CJ101" s="740"/>
      <c r="CK101" s="740"/>
      <c r="CL101" s="740"/>
      <c r="CM101" s="740"/>
      <c r="CN101" s="740"/>
      <c r="CO101" s="740"/>
      <c r="CP101" s="740"/>
      <c r="CQ101" s="740"/>
      <c r="CR101" s="740"/>
      <c r="CS101" s="740"/>
      <c r="CT101" s="740"/>
      <c r="CU101" s="740"/>
      <c r="CV101" s="740"/>
      <c r="CW101" s="740"/>
      <c r="CX101" s="740"/>
      <c r="CY101" s="740"/>
      <c r="CZ101" s="740"/>
      <c r="DA101" s="740"/>
      <c r="DB101" s="740"/>
      <c r="DC101" s="740"/>
      <c r="DD101" s="740"/>
      <c r="DE101" s="740"/>
      <c r="DF101" s="740"/>
      <c r="DG101" s="740"/>
      <c r="DH101" s="740"/>
      <c r="DI101" s="740"/>
      <c r="DJ101" s="740"/>
      <c r="DK101" s="740"/>
      <c r="DL101" s="740"/>
      <c r="DM101" s="740"/>
      <c r="DN101" s="740"/>
      <c r="DO101" s="740"/>
      <c r="DP101" s="740"/>
      <c r="DQ101" s="740"/>
      <c r="DR101" s="740"/>
      <c r="DS101" s="740"/>
      <c r="DT101" s="740"/>
      <c r="DU101" s="740"/>
      <c r="DV101" s="740"/>
      <c r="DW101" s="740"/>
      <c r="DX101" s="740"/>
      <c r="DY101" s="740"/>
      <c r="DZ101" s="740"/>
      <c r="EA101" s="740"/>
      <c r="EB101" s="740"/>
      <c r="EC101" s="740"/>
      <c r="ED101" s="740"/>
      <c r="EE101" s="740"/>
      <c r="EF101" s="740"/>
      <c r="EG101" s="740"/>
      <c r="EH101" s="740"/>
      <c r="EI101" s="740"/>
      <c r="EJ101" s="740"/>
      <c r="EK101" s="740"/>
      <c r="EL101" s="740"/>
      <c r="EM101" s="740"/>
      <c r="EN101" s="740"/>
      <c r="EO101" s="740"/>
      <c r="EP101" s="740"/>
      <c r="EQ101" s="740"/>
      <c r="ER101" s="740"/>
      <c r="ES101" s="740"/>
      <c r="ET101" s="740"/>
      <c r="EU101" s="740"/>
      <c r="EV101" s="740"/>
      <c r="EW101" s="740"/>
      <c r="EX101" s="740"/>
      <c r="EY101" s="740"/>
      <c r="EZ101" s="740"/>
      <c r="FA101" s="740"/>
      <c r="FB101" s="740"/>
      <c r="FC101" s="740"/>
      <c r="FD101" s="740"/>
      <c r="FE101" s="740"/>
      <c r="FF101" s="740"/>
      <c r="FG101" s="740"/>
      <c r="FH101" s="740"/>
      <c r="FI101" s="740"/>
      <c r="FJ101" s="740"/>
      <c r="FK101" s="740"/>
      <c r="FL101" s="740"/>
      <c r="FM101" s="740"/>
      <c r="FN101" s="740"/>
      <c r="FO101" s="740"/>
      <c r="FP101" s="740"/>
      <c r="FQ101" s="740"/>
      <c r="FR101" s="740"/>
      <c r="FS101" s="740"/>
      <c r="FT101" s="740"/>
      <c r="FU101" s="740"/>
      <c r="FV101" s="740"/>
      <c r="FW101" s="740"/>
      <c r="FX101" s="740"/>
      <c r="FY101" s="740"/>
      <c r="FZ101" s="740"/>
      <c r="GA101" s="740"/>
      <c r="GB101" s="740"/>
      <c r="GC101" s="740"/>
      <c r="GD101" s="740"/>
      <c r="GE101" s="740"/>
      <c r="GF101" s="740"/>
      <c r="GG101" s="740"/>
      <c r="GH101" s="740"/>
      <c r="GI101" s="740"/>
      <c r="GJ101" s="740"/>
      <c r="GK101" s="740"/>
      <c r="GL101" s="740"/>
      <c r="GM101" s="740"/>
      <c r="GN101" s="740"/>
      <c r="GO101" s="740"/>
      <c r="GP101" s="740"/>
      <c r="GQ101" s="740"/>
      <c r="GR101" s="740"/>
      <c r="GS101" s="740"/>
      <c r="GT101" s="740"/>
      <c r="GU101" s="740"/>
      <c r="GV101" s="740"/>
      <c r="GW101" s="740"/>
    </row>
    <row r="102" spans="1:205" ht="20.100000000000001" customHeight="1" x14ac:dyDescent="0.2">
      <c r="A102" s="2503"/>
      <c r="D102" s="982"/>
      <c r="E102" s="1160" t="str">
        <f>"Aufzuchtphase (ab "&amp;$M$89&amp;" Tage)"</f>
        <v>Aufzuchtphase (ab 110 Tage)</v>
      </c>
      <c r="F102" s="982"/>
      <c r="G102" s="1082"/>
      <c r="H102" s="1083"/>
      <c r="I102" s="1084"/>
      <c r="J102" s="1085"/>
      <c r="K102" s="986"/>
      <c r="L102" s="1085"/>
      <c r="M102" s="986"/>
      <c r="N102" s="1085"/>
      <c r="O102" s="986"/>
      <c r="P102" s="1163"/>
      <c r="Q102" s="1054"/>
      <c r="R102" s="1052"/>
      <c r="S102" s="1052"/>
      <c r="T102" s="1052"/>
      <c r="U102" s="1052"/>
      <c r="V102" s="1052"/>
      <c r="W102" s="1052"/>
      <c r="X102" s="1052"/>
      <c r="Y102" s="1052"/>
      <c r="Z102" s="1052"/>
      <c r="AA102" s="740"/>
      <c r="AB102" s="740"/>
      <c r="AC102" s="740"/>
      <c r="AD102" s="740"/>
      <c r="AE102" s="740"/>
      <c r="AF102" s="740"/>
      <c r="AG102" s="740"/>
      <c r="AH102" s="740"/>
      <c r="AI102" s="740"/>
      <c r="AJ102" s="740"/>
      <c r="AK102" s="740"/>
      <c r="AL102" s="740"/>
      <c r="AM102" s="740"/>
      <c r="AN102" s="740"/>
      <c r="AO102" s="740"/>
      <c r="AP102" s="740"/>
      <c r="AQ102" s="740"/>
      <c r="AR102" s="740"/>
      <c r="AS102" s="740"/>
      <c r="AT102" s="740"/>
      <c r="AU102" s="740"/>
      <c r="AV102" s="740"/>
      <c r="AW102" s="740"/>
      <c r="AX102" s="740"/>
      <c r="AY102" s="740"/>
      <c r="AZ102" s="740"/>
      <c r="BA102" s="740"/>
      <c r="BB102" s="740"/>
      <c r="BC102" s="740"/>
      <c r="BD102" s="740"/>
      <c r="BE102" s="740"/>
      <c r="BF102" s="740"/>
      <c r="BG102" s="740"/>
      <c r="BH102" s="740"/>
      <c r="BI102" s="740"/>
      <c r="BJ102" s="740"/>
      <c r="BK102" s="740"/>
      <c r="BL102" s="740"/>
      <c r="BM102" s="740"/>
      <c r="BN102" s="740"/>
      <c r="BO102" s="740"/>
      <c r="BP102" s="740"/>
      <c r="BQ102" s="740"/>
      <c r="BR102" s="740"/>
      <c r="BS102" s="740"/>
      <c r="BT102" s="740"/>
      <c r="BU102" s="740"/>
      <c r="BV102" s="740"/>
      <c r="BW102" s="740"/>
      <c r="BX102" s="740"/>
      <c r="BY102" s="740"/>
      <c r="BZ102" s="740"/>
      <c r="CA102" s="740"/>
      <c r="CB102" s="740"/>
      <c r="CC102" s="740"/>
      <c r="CD102" s="740"/>
      <c r="CE102" s="740"/>
      <c r="CF102" s="740"/>
      <c r="CG102" s="740"/>
      <c r="CH102" s="740"/>
      <c r="CI102" s="740"/>
      <c r="CJ102" s="740"/>
      <c r="CK102" s="740"/>
      <c r="CL102" s="740"/>
      <c r="CM102" s="740"/>
      <c r="CN102" s="740"/>
      <c r="CO102" s="740"/>
      <c r="CP102" s="740"/>
      <c r="CQ102" s="740"/>
      <c r="CR102" s="740"/>
      <c r="CS102" s="740"/>
      <c r="CT102" s="740"/>
      <c r="CU102" s="740"/>
      <c r="CV102" s="740"/>
      <c r="CW102" s="740"/>
      <c r="CX102" s="740"/>
      <c r="CY102" s="740"/>
      <c r="CZ102" s="740"/>
      <c r="DA102" s="740"/>
      <c r="DB102" s="740"/>
      <c r="DC102" s="740"/>
      <c r="DD102" s="740"/>
      <c r="DE102" s="740"/>
      <c r="DF102" s="740"/>
      <c r="DG102" s="740"/>
      <c r="DH102" s="740"/>
      <c r="DI102" s="740"/>
      <c r="DJ102" s="740"/>
      <c r="DK102" s="740"/>
      <c r="DL102" s="740"/>
      <c r="DM102" s="740"/>
      <c r="DN102" s="740"/>
      <c r="DO102" s="740"/>
      <c r="DP102" s="740"/>
      <c r="DQ102" s="740"/>
      <c r="DR102" s="740"/>
      <c r="DS102" s="740"/>
      <c r="DT102" s="740"/>
      <c r="DU102" s="740"/>
      <c r="DV102" s="740"/>
      <c r="DW102" s="740"/>
      <c r="DX102" s="740"/>
      <c r="DY102" s="740"/>
      <c r="DZ102" s="740"/>
      <c r="EA102" s="740"/>
      <c r="EB102" s="740"/>
      <c r="EC102" s="740"/>
      <c r="ED102" s="740"/>
      <c r="EE102" s="740"/>
      <c r="EF102" s="740"/>
      <c r="EG102" s="740"/>
      <c r="EH102" s="740"/>
      <c r="EI102" s="740"/>
      <c r="EJ102" s="740"/>
      <c r="EK102" s="740"/>
      <c r="EL102" s="740"/>
      <c r="EM102" s="740"/>
      <c r="EN102" s="740"/>
      <c r="EO102" s="740"/>
      <c r="EP102" s="740"/>
      <c r="EQ102" s="740"/>
      <c r="ER102" s="740"/>
      <c r="ES102" s="740"/>
      <c r="ET102" s="740"/>
      <c r="EU102" s="740"/>
      <c r="EV102" s="740"/>
      <c r="EW102" s="740"/>
      <c r="EX102" s="740"/>
      <c r="EY102" s="740"/>
      <c r="EZ102" s="740"/>
      <c r="FA102" s="740"/>
      <c r="FB102" s="740"/>
      <c r="FC102" s="740"/>
      <c r="FD102" s="740"/>
      <c r="FE102" s="740"/>
      <c r="FF102" s="740"/>
      <c r="FG102" s="740"/>
      <c r="FH102" s="740"/>
      <c r="FI102" s="740"/>
      <c r="FJ102" s="740"/>
      <c r="FK102" s="740"/>
      <c r="FL102" s="740"/>
      <c r="FM102" s="740"/>
      <c r="FN102" s="740"/>
      <c r="FO102" s="740"/>
      <c r="FP102" s="740"/>
      <c r="FQ102" s="740"/>
      <c r="FR102" s="740"/>
      <c r="FS102" s="740"/>
      <c r="FT102" s="740"/>
      <c r="FU102" s="740"/>
      <c r="FV102" s="740"/>
      <c r="FW102" s="740"/>
      <c r="FX102" s="740"/>
      <c r="FY102" s="740"/>
      <c r="FZ102" s="740"/>
      <c r="GA102" s="740"/>
      <c r="GB102" s="740"/>
      <c r="GC102" s="740"/>
      <c r="GD102" s="740"/>
      <c r="GE102" s="740"/>
      <c r="GF102" s="740"/>
      <c r="GG102" s="740"/>
      <c r="GH102" s="740"/>
      <c r="GI102" s="740"/>
      <c r="GJ102" s="740"/>
      <c r="GK102" s="740"/>
      <c r="GL102" s="740"/>
      <c r="GM102" s="740"/>
      <c r="GN102" s="740"/>
      <c r="GO102" s="740"/>
      <c r="GP102" s="740"/>
      <c r="GQ102" s="740"/>
      <c r="GR102" s="740"/>
      <c r="GS102" s="740"/>
      <c r="GT102" s="740"/>
      <c r="GU102" s="740"/>
      <c r="GV102" s="740"/>
      <c r="GW102" s="740"/>
    </row>
    <row r="103" spans="1:205" ht="20.100000000000001" customHeight="1" x14ac:dyDescent="0.2">
      <c r="A103" s="2503"/>
      <c r="D103" s="982"/>
      <c r="E103" s="1160" t="s">
        <v>561</v>
      </c>
      <c r="F103" s="1092"/>
      <c r="G103" s="1092"/>
      <c r="H103" s="1093"/>
      <c r="I103" s="1094"/>
      <c r="J103" s="1095"/>
      <c r="K103" s="1091"/>
      <c r="L103" s="1085"/>
      <c r="M103" s="986"/>
      <c r="N103" s="1085"/>
      <c r="O103" s="986"/>
      <c r="P103" s="1163"/>
      <c r="Q103" s="983"/>
      <c r="R103" s="1052"/>
      <c r="S103" s="1052"/>
      <c r="T103" s="1052"/>
      <c r="U103" s="1052"/>
      <c r="V103" s="1052"/>
      <c r="W103" s="1052"/>
      <c r="X103" s="1052"/>
      <c r="Y103" s="1052"/>
      <c r="Z103" s="1052"/>
      <c r="AA103" s="740"/>
      <c r="AB103" s="740"/>
      <c r="AC103" s="740"/>
      <c r="AD103" s="740"/>
      <c r="AE103" s="740"/>
      <c r="AF103" s="740"/>
      <c r="AG103" s="740"/>
      <c r="AH103" s="740"/>
      <c r="AI103" s="740"/>
      <c r="AJ103" s="740"/>
      <c r="AK103" s="740"/>
      <c r="AL103" s="740"/>
      <c r="AM103" s="740"/>
      <c r="AN103" s="740"/>
      <c r="AO103" s="740"/>
      <c r="AP103" s="740"/>
      <c r="AQ103" s="740"/>
      <c r="AR103" s="740"/>
      <c r="AS103" s="740"/>
      <c r="AT103" s="740"/>
      <c r="AU103" s="740"/>
      <c r="AV103" s="740"/>
      <c r="AW103" s="740"/>
      <c r="AX103" s="740"/>
      <c r="AY103" s="740"/>
      <c r="AZ103" s="740"/>
      <c r="BA103" s="740"/>
      <c r="BB103" s="740"/>
      <c r="BC103" s="740"/>
      <c r="BD103" s="740"/>
      <c r="BE103" s="740"/>
      <c r="BF103" s="740"/>
      <c r="BG103" s="740"/>
      <c r="BH103" s="740"/>
      <c r="BI103" s="740"/>
      <c r="BJ103" s="740"/>
      <c r="BK103" s="740"/>
      <c r="BL103" s="740"/>
      <c r="BM103" s="740"/>
      <c r="BN103" s="740"/>
      <c r="BO103" s="740"/>
      <c r="BP103" s="740"/>
      <c r="BQ103" s="740"/>
      <c r="BR103" s="740"/>
      <c r="BS103" s="740"/>
      <c r="BT103" s="740"/>
      <c r="BU103" s="740"/>
      <c r="BV103" s="740"/>
      <c r="BW103" s="740"/>
      <c r="BX103" s="740"/>
      <c r="BY103" s="740"/>
      <c r="BZ103" s="740"/>
      <c r="CA103" s="740"/>
      <c r="CB103" s="740"/>
      <c r="CC103" s="740"/>
      <c r="CD103" s="740"/>
      <c r="CE103" s="740"/>
      <c r="CF103" s="740"/>
      <c r="CG103" s="740"/>
      <c r="CH103" s="740"/>
      <c r="CI103" s="740"/>
      <c r="CJ103" s="740"/>
      <c r="CK103" s="740"/>
      <c r="CL103" s="740"/>
      <c r="CM103" s="740"/>
      <c r="CN103" s="740"/>
      <c r="CO103" s="740"/>
      <c r="CP103" s="740"/>
      <c r="CQ103" s="740"/>
      <c r="CR103" s="740"/>
      <c r="CS103" s="740"/>
      <c r="CT103" s="740"/>
      <c r="CU103" s="740"/>
      <c r="CV103" s="740"/>
      <c r="CW103" s="740"/>
      <c r="CX103" s="740"/>
      <c r="CY103" s="740"/>
      <c r="CZ103" s="740"/>
      <c r="DA103" s="740"/>
      <c r="DB103" s="740"/>
      <c r="DC103" s="740"/>
      <c r="DD103" s="740"/>
      <c r="DE103" s="740"/>
      <c r="DF103" s="740"/>
      <c r="DG103" s="740"/>
      <c r="DH103" s="740"/>
      <c r="DI103" s="740"/>
      <c r="DJ103" s="740"/>
      <c r="DK103" s="740"/>
      <c r="DL103" s="740"/>
      <c r="DM103" s="740"/>
      <c r="DN103" s="740"/>
      <c r="DO103" s="740"/>
      <c r="DP103" s="740"/>
      <c r="DQ103" s="740"/>
      <c r="DR103" s="740"/>
      <c r="DS103" s="740"/>
      <c r="DT103" s="740"/>
      <c r="DU103" s="740"/>
      <c r="DV103" s="740"/>
      <c r="DW103" s="740"/>
      <c r="DX103" s="740"/>
      <c r="DY103" s="740"/>
      <c r="DZ103" s="740"/>
      <c r="EA103" s="740"/>
      <c r="EB103" s="740"/>
      <c r="EC103" s="740"/>
      <c r="ED103" s="740"/>
      <c r="EE103" s="740"/>
      <c r="EF103" s="740"/>
      <c r="EG103" s="740"/>
      <c r="EH103" s="740"/>
      <c r="EI103" s="740"/>
      <c r="EJ103" s="740"/>
      <c r="EK103" s="740"/>
      <c r="EL103" s="740"/>
      <c r="EM103" s="740"/>
      <c r="EN103" s="740"/>
      <c r="EO103" s="740"/>
      <c r="EP103" s="740"/>
      <c r="EQ103" s="740"/>
      <c r="ER103" s="740"/>
      <c r="ES103" s="740"/>
      <c r="ET103" s="740"/>
      <c r="EU103" s="740"/>
      <c r="EV103" s="740"/>
      <c r="EW103" s="740"/>
      <c r="EX103" s="740"/>
      <c r="EY103" s="740"/>
      <c r="EZ103" s="740"/>
      <c r="FA103" s="740"/>
      <c r="FB103" s="740"/>
      <c r="FC103" s="740"/>
      <c r="FD103" s="740"/>
      <c r="FE103" s="740"/>
      <c r="FF103" s="740"/>
      <c r="FG103" s="740"/>
      <c r="FH103" s="740"/>
      <c r="FI103" s="740"/>
      <c r="FJ103" s="740"/>
      <c r="FK103" s="740"/>
      <c r="FL103" s="740"/>
      <c r="FM103" s="740"/>
      <c r="FN103" s="740"/>
      <c r="FO103" s="740"/>
      <c r="FP103" s="740"/>
      <c r="FQ103" s="740"/>
      <c r="FR103" s="740"/>
      <c r="FS103" s="740"/>
      <c r="FT103" s="740"/>
      <c r="FU103" s="740"/>
      <c r="FV103" s="740"/>
      <c r="FW103" s="740"/>
      <c r="FX103" s="740"/>
      <c r="FY103" s="740"/>
      <c r="FZ103" s="740"/>
      <c r="GA103" s="740"/>
      <c r="GB103" s="740"/>
      <c r="GC103" s="740"/>
      <c r="GD103" s="740"/>
      <c r="GE103" s="740"/>
      <c r="GF103" s="740"/>
      <c r="GG103" s="740"/>
      <c r="GH103" s="740"/>
      <c r="GI103" s="740"/>
      <c r="GJ103" s="740"/>
      <c r="GK103" s="740"/>
      <c r="GL103" s="740"/>
      <c r="GM103" s="740"/>
      <c r="GN103" s="740"/>
      <c r="GO103" s="740"/>
      <c r="GP103" s="740"/>
      <c r="GQ103" s="740"/>
      <c r="GR103" s="740"/>
      <c r="GS103" s="740"/>
      <c r="GT103" s="740"/>
      <c r="GU103" s="740"/>
      <c r="GV103" s="740"/>
      <c r="GW103" s="740"/>
    </row>
    <row r="104" spans="1:205" ht="20.100000000000001" customHeight="1" x14ac:dyDescent="0.2">
      <c r="A104" s="2503"/>
      <c r="D104" s="982"/>
      <c r="E104" s="1171" t="s">
        <v>536</v>
      </c>
      <c r="F104" s="1097"/>
      <c r="G104" s="1097"/>
      <c r="H104" s="1098" t="s">
        <v>556</v>
      </c>
      <c r="I104" s="1148">
        <v>1</v>
      </c>
      <c r="J104" s="1150" t="s">
        <v>557</v>
      </c>
      <c r="K104" s="1099">
        <f>(L100*$I$104)/60</f>
        <v>5.3506666666666671</v>
      </c>
      <c r="L104" s="1100">
        <f>(L$96-$O$89)*30.42*M$47/100*$I$104/60/2.2</f>
        <v>0</v>
      </c>
      <c r="M104" s="1099">
        <f>(N100*$I$104)/60</f>
        <v>3.7087999999999997</v>
      </c>
      <c r="N104" s="1100">
        <f>(N$96-$O$89)*30.42*O$47/100*$I$104/60/2.2</f>
        <v>0</v>
      </c>
      <c r="O104" s="1099">
        <f>(P100*$I$104)/60</f>
        <v>2.2697333333333338</v>
      </c>
      <c r="P104" s="1172"/>
      <c r="Q104" s="983"/>
      <c r="R104" s="1052"/>
      <c r="S104" s="1052"/>
      <c r="T104" s="1052"/>
      <c r="U104" s="1052"/>
      <c r="V104" s="1052"/>
      <c r="W104" s="1052"/>
      <c r="X104" s="1052"/>
      <c r="Y104" s="1052"/>
      <c r="Z104" s="1052"/>
      <c r="AA104" s="740"/>
      <c r="AB104" s="740"/>
      <c r="AC104" s="740"/>
      <c r="AD104" s="740"/>
      <c r="AE104" s="740"/>
      <c r="AF104" s="740"/>
      <c r="AG104" s="740"/>
      <c r="AH104" s="740"/>
      <c r="AI104" s="740"/>
      <c r="AJ104" s="740"/>
      <c r="AK104" s="740"/>
      <c r="AL104" s="740"/>
      <c r="AM104" s="740"/>
      <c r="AN104" s="740"/>
      <c r="AO104" s="740"/>
      <c r="AP104" s="740"/>
      <c r="AQ104" s="740"/>
      <c r="AR104" s="740"/>
      <c r="AS104" s="740"/>
      <c r="AT104" s="740"/>
      <c r="AU104" s="740"/>
      <c r="AV104" s="740"/>
      <c r="AW104" s="740"/>
      <c r="AX104" s="740"/>
      <c r="AY104" s="740"/>
      <c r="AZ104" s="740"/>
      <c r="BA104" s="740"/>
      <c r="BB104" s="740"/>
      <c r="BC104" s="740"/>
      <c r="BD104" s="740"/>
      <c r="BE104" s="740"/>
      <c r="BF104" s="740"/>
      <c r="BG104" s="740"/>
      <c r="BH104" s="740"/>
      <c r="BI104" s="740"/>
      <c r="BJ104" s="740"/>
      <c r="BK104" s="740"/>
      <c r="BL104" s="740"/>
      <c r="BM104" s="740"/>
      <c r="BN104" s="740"/>
      <c r="BO104" s="740"/>
      <c r="BP104" s="740"/>
      <c r="BQ104" s="740"/>
      <c r="BR104" s="740"/>
      <c r="BS104" s="740"/>
      <c r="BT104" s="740"/>
      <c r="BU104" s="740"/>
      <c r="BV104" s="740"/>
      <c r="BW104" s="740"/>
      <c r="BX104" s="740"/>
      <c r="BY104" s="740"/>
      <c r="BZ104" s="740"/>
      <c r="CA104" s="740"/>
      <c r="CB104" s="740"/>
      <c r="CC104" s="740"/>
      <c r="CD104" s="740"/>
      <c r="CE104" s="740"/>
      <c r="CF104" s="740"/>
      <c r="CG104" s="740"/>
      <c r="CH104" s="740"/>
      <c r="CI104" s="740"/>
      <c r="CJ104" s="740"/>
      <c r="CK104" s="740"/>
      <c r="CL104" s="740"/>
      <c r="CM104" s="740"/>
      <c r="CN104" s="740"/>
      <c r="CO104" s="740"/>
      <c r="CP104" s="740"/>
      <c r="CQ104" s="740"/>
      <c r="CR104" s="740"/>
      <c r="CS104" s="740"/>
      <c r="CT104" s="740"/>
      <c r="CU104" s="740"/>
      <c r="CV104" s="740"/>
      <c r="CW104" s="740"/>
      <c r="CX104" s="740"/>
      <c r="CY104" s="740"/>
      <c r="CZ104" s="740"/>
      <c r="DA104" s="740"/>
      <c r="DB104" s="740"/>
      <c r="DC104" s="740"/>
      <c r="DD104" s="740"/>
      <c r="DE104" s="740"/>
      <c r="DF104" s="740"/>
      <c r="DG104" s="740"/>
      <c r="DH104" s="740"/>
      <c r="DI104" s="740"/>
      <c r="DJ104" s="740"/>
      <c r="DK104" s="740"/>
      <c r="DL104" s="740"/>
      <c r="DM104" s="740"/>
      <c r="DN104" s="740"/>
      <c r="DO104" s="740"/>
      <c r="DP104" s="740"/>
      <c r="DQ104" s="740"/>
      <c r="DR104" s="740"/>
      <c r="DS104" s="740"/>
      <c r="DT104" s="740"/>
      <c r="DU104" s="740"/>
      <c r="DV104" s="740"/>
      <c r="DW104" s="740"/>
      <c r="DX104" s="740"/>
      <c r="DY104" s="740"/>
      <c r="DZ104" s="740"/>
      <c r="EA104" s="740"/>
      <c r="EB104" s="740"/>
      <c r="EC104" s="740"/>
      <c r="ED104" s="740"/>
      <c r="EE104" s="740"/>
      <c r="EF104" s="740"/>
      <c r="EG104" s="740"/>
      <c r="EH104" s="740"/>
      <c r="EI104" s="740"/>
      <c r="EJ104" s="740"/>
      <c r="EK104" s="740"/>
      <c r="EL104" s="740"/>
      <c r="EM104" s="740"/>
      <c r="EN104" s="740"/>
      <c r="EO104" s="740"/>
      <c r="EP104" s="740"/>
      <c r="EQ104" s="740"/>
      <c r="ER104" s="740"/>
      <c r="ES104" s="740"/>
      <c r="ET104" s="740"/>
      <c r="EU104" s="740"/>
      <c r="EV104" s="740"/>
      <c r="EW104" s="740"/>
      <c r="EX104" s="740"/>
      <c r="EY104" s="740"/>
      <c r="EZ104" s="740"/>
      <c r="FA104" s="740"/>
      <c r="FB104" s="740"/>
      <c r="FC104" s="740"/>
      <c r="FD104" s="740"/>
      <c r="FE104" s="740"/>
      <c r="FF104" s="740"/>
      <c r="FG104" s="740"/>
      <c r="FH104" s="740"/>
      <c r="FI104" s="740"/>
      <c r="FJ104" s="740"/>
      <c r="FK104" s="740"/>
      <c r="FL104" s="740"/>
      <c r="FM104" s="740"/>
      <c r="FN104" s="740"/>
      <c r="FO104" s="740"/>
      <c r="FP104" s="740"/>
      <c r="FQ104" s="740"/>
      <c r="FR104" s="740"/>
      <c r="FS104" s="740"/>
      <c r="FT104" s="740"/>
      <c r="FU104" s="740"/>
      <c r="FV104" s="740"/>
      <c r="FW104" s="740"/>
      <c r="FX104" s="740"/>
      <c r="FY104" s="740"/>
      <c r="FZ104" s="740"/>
      <c r="GA104" s="740"/>
      <c r="GB104" s="740"/>
      <c r="GC104" s="740"/>
      <c r="GD104" s="740"/>
      <c r="GE104" s="740"/>
      <c r="GF104" s="740"/>
      <c r="GG104" s="740"/>
      <c r="GH104" s="740"/>
      <c r="GI104" s="740"/>
      <c r="GJ104" s="740"/>
      <c r="GK104" s="740"/>
      <c r="GL104" s="740"/>
      <c r="GM104" s="740"/>
      <c r="GN104" s="740"/>
      <c r="GO104" s="740"/>
      <c r="GP104" s="740"/>
      <c r="GQ104" s="740"/>
      <c r="GR104" s="740"/>
      <c r="GS104" s="740"/>
      <c r="GT104" s="740"/>
      <c r="GU104" s="740"/>
      <c r="GV104" s="740"/>
      <c r="GW104" s="740"/>
    </row>
    <row r="105" spans="1:205" ht="20.100000000000001" customHeight="1" x14ac:dyDescent="0.2">
      <c r="A105" s="2503"/>
      <c r="D105" s="982"/>
      <c r="E105" s="1171" t="s">
        <v>535</v>
      </c>
      <c r="F105" s="1097"/>
      <c r="G105" s="1097"/>
      <c r="H105" s="1098" t="s">
        <v>556</v>
      </c>
      <c r="I105" s="1149">
        <v>1.5</v>
      </c>
      <c r="J105" s="1150" t="s">
        <v>558</v>
      </c>
      <c r="K105" s="1099">
        <f>(L101*$I$105)/60</f>
        <v>12.039</v>
      </c>
      <c r="L105" s="1100"/>
      <c r="M105" s="1099">
        <f>(N101*$I$105)/60</f>
        <v>12.980799999999999</v>
      </c>
      <c r="N105" s="1100"/>
      <c r="O105" s="1099">
        <f>(P101*$I$105)/60</f>
        <v>13.618400000000003</v>
      </c>
      <c r="P105" s="1173"/>
      <c r="Q105" s="983"/>
      <c r="R105" s="1052"/>
      <c r="S105" s="1052"/>
      <c r="T105" s="1052"/>
      <c r="U105" s="1052"/>
      <c r="V105" s="1052"/>
      <c r="W105" s="1052"/>
      <c r="X105" s="1052"/>
      <c r="Y105" s="1052"/>
      <c r="Z105" s="1052"/>
      <c r="AA105" s="740"/>
      <c r="AB105" s="740"/>
      <c r="AC105" s="740"/>
      <c r="AD105" s="740"/>
      <c r="AE105" s="740"/>
      <c r="AF105" s="740"/>
      <c r="AG105" s="740"/>
      <c r="AH105" s="740"/>
      <c r="AI105" s="740"/>
      <c r="AJ105" s="740"/>
      <c r="AK105" s="740"/>
      <c r="AL105" s="740"/>
      <c r="AM105" s="740"/>
      <c r="AN105" s="740"/>
      <c r="AO105" s="740"/>
      <c r="AP105" s="740"/>
      <c r="AQ105" s="740"/>
      <c r="AR105" s="740"/>
      <c r="AS105" s="740"/>
      <c r="AT105" s="740"/>
      <c r="AU105" s="740"/>
      <c r="AV105" s="740"/>
      <c r="AW105" s="740"/>
      <c r="AX105" s="740"/>
      <c r="AY105" s="740"/>
      <c r="AZ105" s="740"/>
      <c r="BA105" s="740"/>
      <c r="BB105" s="740"/>
      <c r="BC105" s="740"/>
      <c r="BD105" s="740"/>
      <c r="BE105" s="740"/>
      <c r="BF105" s="740"/>
      <c r="BG105" s="740"/>
      <c r="BH105" s="740"/>
      <c r="BI105" s="740"/>
      <c r="BJ105" s="740"/>
      <c r="BK105" s="740"/>
      <c r="BL105" s="740"/>
      <c r="BM105" s="740"/>
      <c r="BN105" s="740"/>
      <c r="BO105" s="740"/>
      <c r="BP105" s="740"/>
      <c r="BQ105" s="740"/>
      <c r="BR105" s="740"/>
      <c r="BS105" s="740"/>
      <c r="BT105" s="740"/>
      <c r="BU105" s="740"/>
      <c r="BV105" s="740"/>
      <c r="BW105" s="740"/>
      <c r="BX105" s="740"/>
      <c r="BY105" s="740"/>
      <c r="BZ105" s="740"/>
      <c r="CA105" s="740"/>
      <c r="CB105" s="740"/>
      <c r="CC105" s="740"/>
      <c r="CD105" s="740"/>
      <c r="CE105" s="740"/>
      <c r="CF105" s="740"/>
      <c r="CG105" s="740"/>
      <c r="CH105" s="740"/>
      <c r="CI105" s="740"/>
      <c r="CJ105" s="740"/>
      <c r="CK105" s="740"/>
      <c r="CL105" s="740"/>
      <c r="CM105" s="740"/>
      <c r="CN105" s="740"/>
      <c r="CO105" s="740"/>
      <c r="CP105" s="740"/>
      <c r="CQ105" s="740"/>
      <c r="CR105" s="740"/>
      <c r="CS105" s="740"/>
      <c r="CT105" s="740"/>
      <c r="CU105" s="740"/>
      <c r="CV105" s="740"/>
      <c r="CW105" s="740"/>
      <c r="CX105" s="740"/>
      <c r="CY105" s="740"/>
      <c r="CZ105" s="740"/>
      <c r="DA105" s="740"/>
      <c r="DB105" s="740"/>
      <c r="DC105" s="740"/>
      <c r="DD105" s="740"/>
      <c r="DE105" s="740"/>
      <c r="DF105" s="740"/>
      <c r="DG105" s="740"/>
      <c r="DH105" s="740"/>
      <c r="DI105" s="740"/>
      <c r="DJ105" s="740"/>
      <c r="DK105" s="740"/>
      <c r="DL105" s="740"/>
      <c r="DM105" s="740"/>
      <c r="DN105" s="740"/>
      <c r="DO105" s="740"/>
      <c r="DP105" s="740"/>
      <c r="DQ105" s="740"/>
      <c r="DR105" s="740"/>
      <c r="DS105" s="740"/>
      <c r="DT105" s="740"/>
      <c r="DU105" s="740"/>
      <c r="DV105" s="740"/>
      <c r="DW105" s="740"/>
      <c r="DX105" s="740"/>
      <c r="DY105" s="740"/>
      <c r="DZ105" s="740"/>
      <c r="EA105" s="740"/>
      <c r="EB105" s="740"/>
      <c r="EC105" s="740"/>
      <c r="ED105" s="740"/>
      <c r="EE105" s="740"/>
      <c r="EF105" s="740"/>
      <c r="EG105" s="740"/>
      <c r="EH105" s="740"/>
      <c r="EI105" s="740"/>
      <c r="EJ105" s="740"/>
      <c r="EK105" s="740"/>
      <c r="EL105" s="740"/>
      <c r="EM105" s="740"/>
      <c r="EN105" s="740"/>
      <c r="EO105" s="740"/>
      <c r="EP105" s="740"/>
      <c r="EQ105" s="740"/>
      <c r="ER105" s="740"/>
      <c r="ES105" s="740"/>
      <c r="ET105" s="740"/>
      <c r="EU105" s="740"/>
      <c r="EV105" s="740"/>
      <c r="EW105" s="740"/>
      <c r="EX105" s="740"/>
      <c r="EY105" s="740"/>
      <c r="EZ105" s="740"/>
      <c r="FA105" s="740"/>
      <c r="FB105" s="740"/>
      <c r="FC105" s="740"/>
      <c r="FD105" s="740"/>
      <c r="FE105" s="740"/>
      <c r="FF105" s="740"/>
      <c r="FG105" s="740"/>
      <c r="FH105" s="740"/>
      <c r="FI105" s="740"/>
      <c r="FJ105" s="740"/>
      <c r="FK105" s="740"/>
      <c r="FL105" s="740"/>
      <c r="FM105" s="740"/>
      <c r="FN105" s="740"/>
      <c r="FO105" s="740"/>
      <c r="FP105" s="740"/>
      <c r="FQ105" s="740"/>
      <c r="FR105" s="740"/>
      <c r="FS105" s="740"/>
      <c r="FT105" s="740"/>
      <c r="FU105" s="740"/>
      <c r="FV105" s="740"/>
      <c r="FW105" s="740"/>
      <c r="FX105" s="740"/>
      <c r="FY105" s="740"/>
      <c r="FZ105" s="740"/>
      <c r="GA105" s="740"/>
      <c r="GB105" s="740"/>
      <c r="GC105" s="740"/>
      <c r="GD105" s="740"/>
      <c r="GE105" s="740"/>
      <c r="GF105" s="740"/>
      <c r="GG105" s="740"/>
      <c r="GH105" s="740"/>
      <c r="GI105" s="740"/>
      <c r="GJ105" s="740"/>
      <c r="GK105" s="740"/>
      <c r="GL105" s="740"/>
      <c r="GM105" s="740"/>
      <c r="GN105" s="740"/>
      <c r="GO105" s="740"/>
      <c r="GP105" s="740"/>
      <c r="GQ105" s="740"/>
      <c r="GR105" s="740"/>
      <c r="GS105" s="740"/>
      <c r="GT105" s="740"/>
      <c r="GU105" s="740"/>
      <c r="GV105" s="740"/>
      <c r="GW105" s="740"/>
    </row>
    <row r="106" spans="1:205" ht="20.100000000000001" customHeight="1" x14ac:dyDescent="0.2">
      <c r="A106" s="2503"/>
      <c r="D106" s="982"/>
      <c r="E106" s="1174" t="s">
        <v>562</v>
      </c>
      <c r="F106" s="1071"/>
      <c r="G106" s="1071"/>
      <c r="H106" s="1071"/>
      <c r="I106" s="1072"/>
      <c r="J106" s="1071"/>
      <c r="K106" s="1102">
        <f>SUM(K104:K105)</f>
        <v>17.389666666666667</v>
      </c>
      <c r="L106" s="1103"/>
      <c r="M106" s="1102">
        <f>SUM(M104:M105)</f>
        <v>16.689599999999999</v>
      </c>
      <c r="N106" s="1103"/>
      <c r="O106" s="1102">
        <f>SUM(O104:O105)</f>
        <v>15.888133333333336</v>
      </c>
      <c r="P106" s="1175"/>
      <c r="Q106" s="983"/>
      <c r="R106" s="1052"/>
      <c r="S106" s="1052"/>
      <c r="T106" s="1052"/>
      <c r="U106" s="1052"/>
      <c r="V106" s="1052"/>
      <c r="W106" s="1052"/>
      <c r="X106" s="1052"/>
      <c r="Y106" s="1052"/>
      <c r="Z106" s="1052"/>
      <c r="AA106" s="740"/>
      <c r="AB106" s="740"/>
      <c r="AC106" s="740"/>
      <c r="AD106" s="740"/>
      <c r="AE106" s="740"/>
      <c r="AF106" s="740"/>
      <c r="AG106" s="740"/>
      <c r="AH106" s="740"/>
      <c r="AI106" s="740"/>
      <c r="AJ106" s="740"/>
      <c r="AK106" s="740"/>
      <c r="AL106" s="740"/>
      <c r="AM106" s="740"/>
      <c r="AN106" s="740"/>
      <c r="AO106" s="740"/>
      <c r="AP106" s="740"/>
      <c r="AQ106" s="740"/>
      <c r="AR106" s="740"/>
      <c r="AS106" s="740"/>
      <c r="AT106" s="740"/>
      <c r="AU106" s="740"/>
      <c r="AV106" s="740"/>
      <c r="AW106" s="740"/>
      <c r="AX106" s="740"/>
      <c r="AY106" s="740"/>
      <c r="AZ106" s="740"/>
      <c r="BA106" s="740"/>
      <c r="BB106" s="740"/>
      <c r="BC106" s="740"/>
      <c r="BD106" s="740"/>
      <c r="BE106" s="740"/>
      <c r="BF106" s="740"/>
      <c r="BG106" s="740"/>
      <c r="BH106" s="740"/>
      <c r="BI106" s="740"/>
      <c r="BJ106" s="740"/>
      <c r="BK106" s="740"/>
      <c r="BL106" s="740"/>
      <c r="BM106" s="740"/>
      <c r="BN106" s="740"/>
      <c r="BO106" s="740"/>
      <c r="BP106" s="740"/>
      <c r="BQ106" s="740"/>
      <c r="BR106" s="740"/>
      <c r="BS106" s="740"/>
      <c r="BT106" s="740"/>
      <c r="BU106" s="740"/>
      <c r="BV106" s="740"/>
      <c r="BW106" s="740"/>
      <c r="BX106" s="740"/>
      <c r="BY106" s="740"/>
      <c r="BZ106" s="740"/>
      <c r="CA106" s="740"/>
      <c r="CB106" s="740"/>
      <c r="CC106" s="740"/>
      <c r="CD106" s="740"/>
      <c r="CE106" s="740"/>
      <c r="CF106" s="740"/>
      <c r="CG106" s="740"/>
      <c r="CH106" s="740"/>
      <c r="CI106" s="740"/>
      <c r="CJ106" s="740"/>
      <c r="CK106" s="740"/>
      <c r="CL106" s="740"/>
      <c r="CM106" s="740"/>
      <c r="CN106" s="740"/>
      <c r="CO106" s="740"/>
      <c r="CP106" s="740"/>
      <c r="CQ106" s="740"/>
      <c r="CR106" s="740"/>
      <c r="CS106" s="740"/>
      <c r="CT106" s="740"/>
      <c r="CU106" s="740"/>
      <c r="CV106" s="740"/>
      <c r="CW106" s="740"/>
      <c r="CX106" s="740"/>
      <c r="CY106" s="740"/>
      <c r="CZ106" s="740"/>
      <c r="DA106" s="740"/>
      <c r="DB106" s="740"/>
      <c r="DC106" s="740"/>
      <c r="DD106" s="740"/>
      <c r="DE106" s="740"/>
      <c r="DF106" s="740"/>
      <c r="DG106" s="740"/>
      <c r="DH106" s="740"/>
      <c r="DI106" s="740"/>
      <c r="DJ106" s="740"/>
      <c r="DK106" s="740"/>
      <c r="DL106" s="740"/>
      <c r="DM106" s="740"/>
      <c r="DN106" s="740"/>
      <c r="DO106" s="740"/>
      <c r="DP106" s="740"/>
      <c r="DQ106" s="740"/>
      <c r="DR106" s="740"/>
      <c r="DS106" s="740"/>
      <c r="DT106" s="740"/>
      <c r="DU106" s="740"/>
      <c r="DV106" s="740"/>
      <c r="DW106" s="740"/>
      <c r="DX106" s="740"/>
      <c r="DY106" s="740"/>
      <c r="DZ106" s="740"/>
      <c r="EA106" s="740"/>
      <c r="EB106" s="740"/>
      <c r="EC106" s="740"/>
      <c r="ED106" s="740"/>
      <c r="EE106" s="740"/>
      <c r="EF106" s="740"/>
      <c r="EG106" s="740"/>
      <c r="EH106" s="740"/>
      <c r="EI106" s="740"/>
      <c r="EJ106" s="740"/>
      <c r="EK106" s="740"/>
      <c r="EL106" s="740"/>
      <c r="EM106" s="740"/>
      <c r="EN106" s="740"/>
      <c r="EO106" s="740"/>
      <c r="EP106" s="740"/>
      <c r="EQ106" s="740"/>
      <c r="ER106" s="740"/>
      <c r="ES106" s="740"/>
      <c r="ET106" s="740"/>
      <c r="EU106" s="740"/>
      <c r="EV106" s="740"/>
      <c r="EW106" s="740"/>
      <c r="EX106" s="740"/>
      <c r="EY106" s="740"/>
      <c r="EZ106" s="740"/>
      <c r="FA106" s="740"/>
      <c r="FB106" s="740"/>
      <c r="FC106" s="740"/>
      <c r="FD106" s="740"/>
      <c r="FE106" s="740"/>
      <c r="FF106" s="740"/>
      <c r="FG106" s="740"/>
      <c r="FH106" s="740"/>
      <c r="FI106" s="740"/>
      <c r="FJ106" s="740"/>
      <c r="FK106" s="740"/>
      <c r="FL106" s="740"/>
      <c r="FM106" s="740"/>
      <c r="FN106" s="740"/>
      <c r="FO106" s="740"/>
      <c r="FP106" s="740"/>
      <c r="FQ106" s="740"/>
      <c r="FR106" s="740"/>
      <c r="FS106" s="740"/>
      <c r="FT106" s="740"/>
      <c r="FU106" s="740"/>
      <c r="FV106" s="740"/>
      <c r="FW106" s="740"/>
      <c r="FX106" s="740"/>
      <c r="FY106" s="740"/>
      <c r="FZ106" s="740"/>
      <c r="GA106" s="740"/>
      <c r="GB106" s="740"/>
      <c r="GC106" s="740"/>
      <c r="GD106" s="740"/>
      <c r="GE106" s="740"/>
      <c r="GF106" s="740"/>
      <c r="GG106" s="740"/>
      <c r="GH106" s="740"/>
      <c r="GI106" s="740"/>
      <c r="GJ106" s="740"/>
      <c r="GK106" s="740"/>
      <c r="GL106" s="740"/>
      <c r="GM106" s="740"/>
      <c r="GN106" s="740"/>
      <c r="GO106" s="740"/>
      <c r="GP106" s="740"/>
      <c r="GQ106" s="740"/>
      <c r="GR106" s="740"/>
      <c r="GS106" s="740"/>
      <c r="GT106" s="740"/>
      <c r="GU106" s="740"/>
      <c r="GV106" s="740"/>
      <c r="GW106" s="740"/>
    </row>
    <row r="107" spans="1:205" ht="20.100000000000001" customHeight="1" x14ac:dyDescent="0.2">
      <c r="A107" s="2503"/>
      <c r="D107" s="982"/>
      <c r="E107" s="1164" t="s">
        <v>633</v>
      </c>
      <c r="F107" s="982"/>
      <c r="G107" s="982"/>
      <c r="H107" s="984"/>
      <c r="I107" s="982"/>
      <c r="J107" s="982"/>
      <c r="K107" s="985"/>
      <c r="L107" s="1085"/>
      <c r="M107" s="985"/>
      <c r="N107" s="1085"/>
      <c r="O107" s="985"/>
      <c r="P107" s="1163"/>
      <c r="Q107" s="983"/>
      <c r="R107" s="1052"/>
      <c r="S107" s="1052"/>
      <c r="T107" s="1052"/>
      <c r="U107" s="1052"/>
      <c r="V107" s="1052"/>
      <c r="W107" s="1052"/>
      <c r="X107" s="1052"/>
      <c r="Y107" s="1052"/>
      <c r="Z107" s="1052"/>
      <c r="AA107" s="740"/>
      <c r="AB107" s="740"/>
      <c r="AC107" s="740"/>
      <c r="AD107" s="740"/>
      <c r="AE107" s="740"/>
      <c r="AF107" s="740"/>
      <c r="AG107" s="740"/>
      <c r="AH107" s="740"/>
      <c r="AI107" s="740"/>
      <c r="AJ107" s="740"/>
      <c r="AK107" s="740"/>
      <c r="AL107" s="740"/>
      <c r="AM107" s="740"/>
      <c r="AN107" s="740"/>
      <c r="AO107" s="740"/>
      <c r="AP107" s="740"/>
      <c r="AQ107" s="740"/>
      <c r="AR107" s="740"/>
      <c r="AS107" s="740"/>
      <c r="AT107" s="740"/>
      <c r="AU107" s="740"/>
      <c r="AV107" s="740"/>
      <c r="AW107" s="740"/>
      <c r="AX107" s="740"/>
      <c r="AY107" s="740"/>
      <c r="AZ107" s="740"/>
      <c r="BA107" s="740"/>
      <c r="BB107" s="740"/>
      <c r="BC107" s="740"/>
      <c r="BD107" s="740"/>
      <c r="BE107" s="740"/>
      <c r="BF107" s="740"/>
      <c r="BG107" s="740"/>
      <c r="BH107" s="740"/>
      <c r="BI107" s="740"/>
      <c r="BJ107" s="740"/>
      <c r="BK107" s="740"/>
      <c r="BL107" s="740"/>
      <c r="BM107" s="740"/>
      <c r="BN107" s="740"/>
      <c r="BO107" s="740"/>
      <c r="BP107" s="740"/>
      <c r="BQ107" s="740"/>
      <c r="BR107" s="740"/>
      <c r="BS107" s="740"/>
      <c r="BT107" s="740"/>
      <c r="BU107" s="740"/>
      <c r="BV107" s="740"/>
      <c r="BW107" s="740"/>
      <c r="BX107" s="740"/>
      <c r="BY107" s="740"/>
      <c r="BZ107" s="740"/>
      <c r="CA107" s="740"/>
      <c r="CB107" s="740"/>
      <c r="CC107" s="740"/>
      <c r="CD107" s="740"/>
      <c r="CE107" s="740"/>
      <c r="CF107" s="740"/>
      <c r="CG107" s="740"/>
      <c r="CH107" s="740"/>
      <c r="CI107" s="740"/>
      <c r="CJ107" s="740"/>
      <c r="CK107" s="740"/>
      <c r="CL107" s="740"/>
      <c r="CM107" s="740"/>
      <c r="CN107" s="740"/>
      <c r="CO107" s="740"/>
      <c r="CP107" s="740"/>
      <c r="CQ107" s="740"/>
      <c r="CR107" s="740"/>
      <c r="CS107" s="740"/>
      <c r="CT107" s="740"/>
      <c r="CU107" s="740"/>
      <c r="CV107" s="740"/>
      <c r="CW107" s="740"/>
      <c r="CX107" s="740"/>
      <c r="CY107" s="740"/>
      <c r="CZ107" s="740"/>
      <c r="DA107" s="740"/>
      <c r="DB107" s="740"/>
      <c r="DC107" s="740"/>
      <c r="DD107" s="740"/>
      <c r="DE107" s="740"/>
      <c r="DF107" s="740"/>
      <c r="DG107" s="740"/>
      <c r="DH107" s="740"/>
      <c r="DI107" s="740"/>
      <c r="DJ107" s="740"/>
      <c r="DK107" s="740"/>
      <c r="DL107" s="740"/>
      <c r="DM107" s="740"/>
      <c r="DN107" s="740"/>
      <c r="DO107" s="740"/>
      <c r="DP107" s="740"/>
      <c r="DQ107" s="740"/>
      <c r="DR107" s="740"/>
      <c r="DS107" s="740"/>
      <c r="DT107" s="740"/>
      <c r="DU107" s="740"/>
      <c r="DV107" s="740"/>
      <c r="DW107" s="740"/>
      <c r="DX107" s="740"/>
      <c r="DY107" s="740"/>
      <c r="DZ107" s="740"/>
      <c r="EA107" s="740"/>
      <c r="EB107" s="740"/>
      <c r="EC107" s="740"/>
      <c r="ED107" s="740"/>
      <c r="EE107" s="740"/>
      <c r="EF107" s="740"/>
      <c r="EG107" s="740"/>
      <c r="EH107" s="740"/>
      <c r="EI107" s="740"/>
      <c r="EJ107" s="740"/>
      <c r="EK107" s="740"/>
      <c r="EL107" s="740"/>
      <c r="EM107" s="740"/>
      <c r="EN107" s="740"/>
      <c r="EO107" s="740"/>
      <c r="EP107" s="740"/>
      <c r="EQ107" s="740"/>
      <c r="ER107" s="740"/>
      <c r="ES107" s="740"/>
      <c r="ET107" s="740"/>
      <c r="EU107" s="740"/>
      <c r="EV107" s="740"/>
      <c r="EW107" s="740"/>
      <c r="EX107" s="740"/>
      <c r="EY107" s="740"/>
      <c r="EZ107" s="740"/>
      <c r="FA107" s="740"/>
      <c r="FB107" s="740"/>
      <c r="FC107" s="740"/>
      <c r="FD107" s="740"/>
      <c r="FE107" s="740"/>
      <c r="FF107" s="740"/>
      <c r="FG107" s="740"/>
      <c r="FH107" s="740"/>
      <c r="FI107" s="740"/>
      <c r="FJ107" s="740"/>
      <c r="FK107" s="740"/>
      <c r="FL107" s="740"/>
      <c r="FM107" s="740"/>
      <c r="FN107" s="740"/>
      <c r="FO107" s="740"/>
      <c r="FP107" s="740"/>
      <c r="FQ107" s="740"/>
      <c r="FR107" s="740"/>
      <c r="FS107" s="740"/>
      <c r="FT107" s="740"/>
      <c r="FU107" s="740"/>
      <c r="FV107" s="740"/>
      <c r="FW107" s="740"/>
      <c r="FX107" s="740"/>
      <c r="FY107" s="740"/>
      <c r="FZ107" s="740"/>
      <c r="GA107" s="740"/>
      <c r="GB107" s="740"/>
      <c r="GC107" s="740"/>
      <c r="GD107" s="740"/>
      <c r="GE107" s="740"/>
      <c r="GF107" s="740"/>
      <c r="GG107" s="740"/>
      <c r="GH107" s="740"/>
      <c r="GI107" s="740"/>
      <c r="GJ107" s="740"/>
      <c r="GK107" s="740"/>
      <c r="GL107" s="740"/>
      <c r="GM107" s="740"/>
      <c r="GN107" s="740"/>
      <c r="GO107" s="740"/>
      <c r="GP107" s="740"/>
      <c r="GQ107" s="740"/>
      <c r="GR107" s="740"/>
      <c r="GS107" s="740"/>
      <c r="GT107" s="740"/>
      <c r="GU107" s="740"/>
      <c r="GV107" s="740"/>
      <c r="GW107" s="740"/>
    </row>
    <row r="108" spans="1:205" ht="20.100000000000001" customHeight="1" x14ac:dyDescent="0.2">
      <c r="A108" s="2503"/>
      <c r="D108" s="982"/>
      <c r="E108" s="1174" t="s">
        <v>538</v>
      </c>
      <c r="F108" s="1071"/>
      <c r="G108" s="1146">
        <f>K96</f>
        <v>30</v>
      </c>
      <c r="H108" s="1146">
        <f>M96</f>
        <v>28</v>
      </c>
      <c r="I108" s="1147">
        <f>O96</f>
        <v>26</v>
      </c>
      <c r="J108" s="982"/>
      <c r="K108" s="1105">
        <f>O44</f>
        <v>0</v>
      </c>
      <c r="L108" s="1085"/>
      <c r="M108" s="985"/>
      <c r="N108" s="1085"/>
      <c r="O108" s="985"/>
      <c r="P108" s="1163"/>
      <c r="Q108" s="983"/>
      <c r="R108" s="1054"/>
      <c r="S108" s="980"/>
      <c r="T108" s="980"/>
      <c r="U108" s="980"/>
      <c r="V108" s="980"/>
      <c r="W108" s="1052"/>
      <c r="X108" s="1052"/>
      <c r="Y108" s="1052"/>
      <c r="Z108" s="1052"/>
      <c r="AA108" s="740"/>
      <c r="AB108" s="740"/>
      <c r="AC108" s="740"/>
      <c r="AD108" s="740"/>
      <c r="AE108" s="740"/>
      <c r="AF108" s="740"/>
      <c r="AG108" s="740"/>
      <c r="AH108" s="740"/>
      <c r="AI108" s="740"/>
      <c r="AJ108" s="740"/>
      <c r="AK108" s="740"/>
      <c r="AL108" s="740"/>
      <c r="AM108" s="740"/>
      <c r="AN108" s="740"/>
      <c r="AO108" s="740"/>
      <c r="AP108" s="740"/>
      <c r="AQ108" s="740"/>
      <c r="AR108" s="740"/>
      <c r="AS108" s="740"/>
      <c r="AT108" s="740"/>
      <c r="AU108" s="740"/>
      <c r="AV108" s="740"/>
      <c r="AW108" s="740"/>
      <c r="AX108" s="740"/>
      <c r="AY108" s="740"/>
      <c r="AZ108" s="740"/>
      <c r="BA108" s="740"/>
      <c r="BB108" s="740"/>
      <c r="BC108" s="740"/>
      <c r="BD108" s="740"/>
      <c r="BE108" s="740"/>
      <c r="BF108" s="740"/>
      <c r="BG108" s="740"/>
      <c r="BH108" s="740"/>
      <c r="BI108" s="740"/>
      <c r="BJ108" s="740"/>
      <c r="BK108" s="740"/>
      <c r="BL108" s="740"/>
      <c r="BM108" s="740"/>
      <c r="BN108" s="740"/>
      <c r="BO108" s="740"/>
      <c r="BP108" s="740"/>
      <c r="BQ108" s="740"/>
      <c r="BR108" s="740"/>
      <c r="BS108" s="740"/>
      <c r="BT108" s="740"/>
      <c r="BU108" s="740"/>
      <c r="BV108" s="740"/>
      <c r="BW108" s="740"/>
      <c r="BX108" s="740"/>
      <c r="BY108" s="740"/>
      <c r="BZ108" s="740"/>
      <c r="CA108" s="740"/>
      <c r="CB108" s="740"/>
      <c r="CC108" s="740"/>
      <c r="CD108" s="740"/>
      <c r="CE108" s="740"/>
      <c r="CF108" s="740"/>
      <c r="CG108" s="740"/>
      <c r="CH108" s="740"/>
      <c r="CI108" s="740"/>
      <c r="CJ108" s="740"/>
      <c r="CK108" s="740"/>
      <c r="CL108" s="740"/>
      <c r="CM108" s="740"/>
      <c r="CN108" s="740"/>
      <c r="CO108" s="740"/>
      <c r="CP108" s="740"/>
      <c r="CQ108" s="740"/>
      <c r="CR108" s="740"/>
      <c r="CS108" s="740"/>
      <c r="CT108" s="740"/>
      <c r="CU108" s="740"/>
      <c r="CV108" s="740"/>
      <c r="CW108" s="740"/>
      <c r="CX108" s="740"/>
      <c r="CY108" s="740"/>
      <c r="CZ108" s="740"/>
      <c r="DA108" s="740"/>
      <c r="DB108" s="740"/>
      <c r="DC108" s="740"/>
      <c r="DD108" s="740"/>
      <c r="DE108" s="740"/>
      <c r="DF108" s="740"/>
      <c r="DG108" s="740"/>
      <c r="DH108" s="740"/>
      <c r="DI108" s="740"/>
      <c r="DJ108" s="740"/>
      <c r="DK108" s="740"/>
      <c r="DL108" s="740"/>
      <c r="DM108" s="740"/>
      <c r="DN108" s="740"/>
      <c r="DO108" s="740"/>
      <c r="DP108" s="740"/>
      <c r="DQ108" s="740"/>
      <c r="DR108" s="740"/>
      <c r="DS108" s="740"/>
      <c r="DT108" s="740"/>
      <c r="DU108" s="740"/>
      <c r="DV108" s="740"/>
      <c r="DW108" s="740"/>
      <c r="DX108" s="740"/>
      <c r="DY108" s="740"/>
      <c r="DZ108" s="740"/>
      <c r="EA108" s="740"/>
      <c r="EB108" s="740"/>
      <c r="EC108" s="740"/>
      <c r="ED108" s="740"/>
      <c r="EE108" s="740"/>
      <c r="EF108" s="740"/>
      <c r="EG108" s="740"/>
      <c r="EH108" s="740"/>
      <c r="EI108" s="740"/>
      <c r="EJ108" s="740"/>
      <c r="EK108" s="740"/>
      <c r="EL108" s="740"/>
      <c r="EM108" s="740"/>
      <c r="EN108" s="740"/>
      <c r="EO108" s="740"/>
      <c r="EP108" s="740"/>
      <c r="EQ108" s="740"/>
      <c r="ER108" s="740"/>
      <c r="ES108" s="740"/>
      <c r="ET108" s="740"/>
      <c r="EU108" s="740"/>
      <c r="EV108" s="740"/>
      <c r="EW108" s="740"/>
      <c r="EX108" s="740"/>
      <c r="EY108" s="740"/>
      <c r="EZ108" s="740"/>
      <c r="FA108" s="740"/>
      <c r="FB108" s="740"/>
      <c r="FC108" s="740"/>
      <c r="FD108" s="740"/>
      <c r="FE108" s="740"/>
      <c r="FF108" s="740"/>
      <c r="FG108" s="740"/>
      <c r="FH108" s="740"/>
      <c r="FI108" s="740"/>
      <c r="FJ108" s="740"/>
      <c r="FK108" s="740"/>
      <c r="FL108" s="740"/>
      <c r="FM108" s="740"/>
      <c r="FN108" s="740"/>
      <c r="FO108" s="740"/>
      <c r="FP108" s="740"/>
      <c r="FQ108" s="740"/>
      <c r="FR108" s="740"/>
      <c r="FS108" s="740"/>
      <c r="FT108" s="740"/>
      <c r="FU108" s="740"/>
      <c r="FV108" s="740"/>
      <c r="FW108" s="740"/>
      <c r="FX108" s="740"/>
      <c r="FY108" s="740"/>
      <c r="FZ108" s="740"/>
      <c r="GA108" s="740"/>
      <c r="GB108" s="740"/>
      <c r="GC108" s="740"/>
      <c r="GD108" s="740"/>
      <c r="GE108" s="740"/>
      <c r="GF108" s="740"/>
      <c r="GG108" s="740"/>
      <c r="GH108" s="740"/>
      <c r="GI108" s="740"/>
      <c r="GJ108" s="740"/>
      <c r="GK108" s="740"/>
      <c r="GL108" s="740"/>
      <c r="GM108" s="740"/>
      <c r="GN108" s="740"/>
      <c r="GO108" s="740"/>
      <c r="GP108" s="740"/>
      <c r="GQ108" s="740"/>
      <c r="GR108" s="740"/>
      <c r="GS108" s="740"/>
      <c r="GT108" s="740"/>
      <c r="GU108" s="740"/>
      <c r="GV108" s="740"/>
      <c r="GW108" s="740"/>
    </row>
    <row r="109" spans="1:205" ht="20.100000000000001" customHeight="1" x14ac:dyDescent="0.2">
      <c r="A109" s="2503"/>
      <c r="D109" s="982"/>
      <c r="E109" s="1176" t="s">
        <v>541</v>
      </c>
      <c r="F109" s="1069"/>
      <c r="G109" s="1106">
        <f>L39</f>
        <v>3200</v>
      </c>
      <c r="H109" s="1106">
        <f>N39</f>
        <v>2700</v>
      </c>
      <c r="I109" s="1107">
        <f>P39</f>
        <v>2400</v>
      </c>
      <c r="J109" s="982"/>
      <c r="K109" s="1108">
        <f>O39</f>
        <v>0</v>
      </c>
      <c r="L109" s="1085"/>
      <c r="M109" s="985"/>
      <c r="N109" s="1085"/>
      <c r="O109" s="985"/>
      <c r="P109" s="1163"/>
      <c r="Q109" s="1055"/>
      <c r="R109" s="1056" t="s">
        <v>542</v>
      </c>
      <c r="S109" s="1971"/>
      <c r="T109" s="1056"/>
      <c r="U109" s="1975" t="s">
        <v>540</v>
      </c>
      <c r="V109" s="1057" t="s">
        <v>544</v>
      </c>
      <c r="W109" s="1058"/>
      <c r="X109" s="1052" t="s">
        <v>555</v>
      </c>
      <c r="Y109" s="1052"/>
      <c r="Z109" s="1052"/>
      <c r="AA109" s="740"/>
      <c r="AB109" s="740"/>
      <c r="AC109" s="740"/>
      <c r="AD109" s="740"/>
      <c r="AE109" s="740"/>
      <c r="AF109" s="740"/>
      <c r="AG109" s="740"/>
      <c r="AH109" s="740"/>
      <c r="AI109" s="740"/>
      <c r="AJ109" s="740"/>
      <c r="AK109" s="740"/>
      <c r="AL109" s="740"/>
      <c r="AM109" s="740"/>
      <c r="AN109" s="740"/>
      <c r="AO109" s="740"/>
      <c r="AP109" s="740"/>
      <c r="AQ109" s="740"/>
      <c r="AR109" s="740"/>
      <c r="AS109" s="740"/>
      <c r="AT109" s="740"/>
      <c r="AU109" s="740"/>
      <c r="AV109" s="740"/>
      <c r="AW109" s="740"/>
      <c r="AX109" s="740"/>
      <c r="AY109" s="740"/>
      <c r="AZ109" s="740"/>
      <c r="BA109" s="740"/>
      <c r="BB109" s="740"/>
      <c r="BC109" s="740"/>
      <c r="BD109" s="740"/>
      <c r="BE109" s="740"/>
      <c r="BF109" s="740"/>
      <c r="BG109" s="740"/>
      <c r="BH109" s="740"/>
      <c r="BI109" s="740"/>
      <c r="BJ109" s="740"/>
      <c r="BK109" s="740"/>
      <c r="BL109" s="740"/>
      <c r="BM109" s="740"/>
      <c r="BN109" s="740"/>
      <c r="BO109" s="740"/>
      <c r="BP109" s="740"/>
      <c r="BQ109" s="740"/>
      <c r="BR109" s="740"/>
      <c r="BS109" s="740"/>
      <c r="BT109" s="740"/>
      <c r="BU109" s="740"/>
      <c r="BV109" s="740"/>
      <c r="BW109" s="740"/>
      <c r="BX109" s="740"/>
      <c r="BY109" s="740"/>
      <c r="BZ109" s="740"/>
      <c r="CA109" s="740"/>
      <c r="CB109" s="740"/>
      <c r="CC109" s="740"/>
      <c r="CD109" s="740"/>
      <c r="CE109" s="740"/>
      <c r="CF109" s="740"/>
      <c r="CG109" s="740"/>
      <c r="CH109" s="740"/>
      <c r="CI109" s="740"/>
      <c r="CJ109" s="740"/>
      <c r="CK109" s="740"/>
      <c r="CL109" s="740"/>
      <c r="CM109" s="740"/>
      <c r="CN109" s="740"/>
      <c r="CO109" s="740"/>
      <c r="CP109" s="740"/>
      <c r="CQ109" s="740"/>
      <c r="CR109" s="740"/>
      <c r="CS109" s="740"/>
      <c r="CT109" s="740"/>
      <c r="CU109" s="740"/>
      <c r="CV109" s="740"/>
      <c r="CW109" s="740"/>
      <c r="CX109" s="740"/>
      <c r="CY109" s="740"/>
      <c r="CZ109" s="740"/>
      <c r="DA109" s="740"/>
      <c r="DB109" s="740"/>
      <c r="DC109" s="740"/>
      <c r="DD109" s="740"/>
      <c r="DE109" s="740"/>
      <c r="DF109" s="740"/>
      <c r="DG109" s="740"/>
      <c r="DH109" s="740"/>
      <c r="DI109" s="740"/>
      <c r="DJ109" s="740"/>
      <c r="DK109" s="740"/>
      <c r="DL109" s="740"/>
      <c r="DM109" s="740"/>
      <c r="DN109" s="740"/>
      <c r="DO109" s="740"/>
      <c r="DP109" s="740"/>
      <c r="DQ109" s="740"/>
      <c r="DR109" s="740"/>
      <c r="DS109" s="740"/>
      <c r="DT109" s="740"/>
      <c r="DU109" s="740"/>
      <c r="DV109" s="740"/>
      <c r="DW109" s="740"/>
      <c r="DX109" s="740"/>
      <c r="DY109" s="740"/>
      <c r="DZ109" s="740"/>
      <c r="EA109" s="740"/>
      <c r="EB109" s="740"/>
      <c r="EC109" s="740"/>
      <c r="ED109" s="740"/>
      <c r="EE109" s="740"/>
      <c r="EF109" s="740"/>
      <c r="EG109" s="740"/>
      <c r="EH109" s="740"/>
      <c r="EI109" s="740"/>
      <c r="EJ109" s="740"/>
      <c r="EK109" s="740"/>
      <c r="EL109" s="740"/>
      <c r="EM109" s="740"/>
      <c r="EN109" s="740"/>
      <c r="EO109" s="740"/>
      <c r="EP109" s="740"/>
      <c r="EQ109" s="740"/>
      <c r="ER109" s="740"/>
      <c r="ES109" s="740"/>
      <c r="ET109" s="740"/>
      <c r="EU109" s="740"/>
      <c r="EV109" s="740"/>
      <c r="EW109" s="740"/>
      <c r="EX109" s="740"/>
      <c r="EY109" s="740"/>
      <c r="EZ109" s="740"/>
      <c r="FA109" s="740"/>
      <c r="FB109" s="740"/>
      <c r="FC109" s="740"/>
      <c r="FD109" s="740"/>
      <c r="FE109" s="740"/>
      <c r="FF109" s="740"/>
      <c r="FG109" s="740"/>
      <c r="FH109" s="740"/>
      <c r="FI109" s="740"/>
      <c r="FJ109" s="740"/>
      <c r="FK109" s="740"/>
      <c r="FL109" s="740"/>
      <c r="FM109" s="740"/>
      <c r="FN109" s="740"/>
      <c r="FO109" s="740"/>
      <c r="FP109" s="740"/>
      <c r="FQ109" s="740"/>
      <c r="FR109" s="740"/>
      <c r="FS109" s="740"/>
      <c r="FT109" s="740"/>
      <c r="FU109" s="740"/>
      <c r="FV109" s="740"/>
      <c r="FW109" s="740"/>
      <c r="FX109" s="740"/>
      <c r="FY109" s="740"/>
      <c r="FZ109" s="740"/>
      <c r="GA109" s="740"/>
      <c r="GB109" s="740"/>
      <c r="GC109" s="740"/>
      <c r="GD109" s="740"/>
      <c r="GE109" s="740"/>
      <c r="GF109" s="740"/>
      <c r="GG109" s="740"/>
      <c r="GH109" s="740"/>
      <c r="GI109" s="740"/>
      <c r="GJ109" s="740"/>
      <c r="GK109" s="740"/>
      <c r="GL109" s="740"/>
      <c r="GM109" s="740"/>
      <c r="GN109" s="740"/>
      <c r="GO109" s="740"/>
      <c r="GP109" s="740"/>
      <c r="GQ109" s="740"/>
      <c r="GR109" s="740"/>
      <c r="GS109" s="740"/>
      <c r="GT109" s="740"/>
      <c r="GU109" s="740"/>
      <c r="GV109" s="740"/>
      <c r="GW109" s="740"/>
    </row>
    <row r="110" spans="1:205" ht="20.100000000000001" customHeight="1" x14ac:dyDescent="0.2">
      <c r="A110" s="2503"/>
      <c r="D110" s="982"/>
      <c r="E110" s="1177" t="s">
        <v>539</v>
      </c>
      <c r="F110" s="1109" t="s">
        <v>961</v>
      </c>
      <c r="G110" s="1110">
        <f>L44</f>
        <v>60</v>
      </c>
      <c r="H110" s="1110">
        <f>N44</f>
        <v>50</v>
      </c>
      <c r="I110" s="1111">
        <f>P44</f>
        <v>40</v>
      </c>
      <c r="J110" s="1096"/>
      <c r="K110" s="1112">
        <f>$G$109*G110/100/V110</f>
        <v>7.5574021430133396</v>
      </c>
      <c r="L110" s="1101"/>
      <c r="M110" s="1113">
        <f>$H$109*H110/100/V110</f>
        <v>5.3137983818062544</v>
      </c>
      <c r="N110" s="1101"/>
      <c r="O110" s="1113">
        <f>$I$109*I110/100/V110</f>
        <v>3.7787010715066698</v>
      </c>
      <c r="P110" s="1172"/>
      <c r="Q110" s="724" t="s">
        <v>539</v>
      </c>
      <c r="R110" s="981"/>
      <c r="S110" s="1972">
        <v>4573</v>
      </c>
      <c r="T110" s="1059"/>
      <c r="U110" s="1976">
        <v>18</v>
      </c>
      <c r="V110" s="1979">
        <f>S110/U110</f>
        <v>254.05555555555554</v>
      </c>
      <c r="W110" s="1060"/>
      <c r="X110" s="1052"/>
      <c r="Y110" s="1052"/>
      <c r="Z110" s="1052"/>
      <c r="AA110" s="740"/>
      <c r="AB110" s="740"/>
      <c r="AC110" s="740"/>
      <c r="AD110" s="740"/>
      <c r="AE110" s="740"/>
      <c r="AF110" s="740"/>
      <c r="AG110" s="740"/>
      <c r="AH110" s="740"/>
      <c r="AI110" s="740"/>
      <c r="AJ110" s="740"/>
      <c r="AK110" s="740"/>
      <c r="AL110" s="740"/>
      <c r="AM110" s="740"/>
      <c r="AN110" s="740"/>
      <c r="AO110" s="740"/>
      <c r="AP110" s="740"/>
      <c r="AQ110" s="740"/>
      <c r="AR110" s="740"/>
      <c r="AS110" s="740"/>
      <c r="AT110" s="740"/>
      <c r="AU110" s="740"/>
      <c r="AV110" s="740"/>
      <c r="AW110" s="740"/>
      <c r="AX110" s="740"/>
      <c r="AY110" s="740"/>
      <c r="AZ110" s="740"/>
      <c r="BA110" s="740"/>
      <c r="BB110" s="740"/>
      <c r="BC110" s="740"/>
      <c r="BD110" s="740"/>
      <c r="BE110" s="740"/>
      <c r="BF110" s="740"/>
      <c r="BG110" s="740"/>
      <c r="BH110" s="740"/>
      <c r="BI110" s="740"/>
      <c r="BJ110" s="740"/>
      <c r="BK110" s="740"/>
      <c r="BL110" s="740"/>
      <c r="BM110" s="740"/>
      <c r="BN110" s="740"/>
      <c r="BO110" s="740"/>
      <c r="BP110" s="740"/>
      <c r="BQ110" s="740"/>
      <c r="BR110" s="740"/>
      <c r="BS110" s="740"/>
      <c r="BT110" s="740"/>
      <c r="BU110" s="740"/>
      <c r="BV110" s="740"/>
      <c r="BW110" s="740"/>
      <c r="BX110" s="740"/>
      <c r="BY110" s="740"/>
      <c r="BZ110" s="740"/>
      <c r="CA110" s="740"/>
      <c r="CB110" s="740"/>
      <c r="CC110" s="740"/>
      <c r="CD110" s="740"/>
      <c r="CE110" s="740"/>
      <c r="CF110" s="740"/>
      <c r="CG110" s="740"/>
      <c r="CH110" s="740"/>
      <c r="CI110" s="740"/>
      <c r="CJ110" s="740"/>
      <c r="CK110" s="740"/>
      <c r="CL110" s="740"/>
      <c r="CM110" s="740"/>
      <c r="CN110" s="740"/>
      <c r="CO110" s="740"/>
      <c r="CP110" s="740"/>
      <c r="CQ110" s="740"/>
      <c r="CR110" s="740"/>
      <c r="CS110" s="740"/>
      <c r="CT110" s="740"/>
      <c r="CU110" s="740"/>
      <c r="CV110" s="740"/>
      <c r="CW110" s="740"/>
      <c r="CX110" s="740"/>
      <c r="CY110" s="740"/>
      <c r="CZ110" s="740"/>
      <c r="DA110" s="740"/>
      <c r="DB110" s="740"/>
      <c r="DC110" s="740"/>
      <c r="DD110" s="740"/>
      <c r="DE110" s="740"/>
      <c r="DF110" s="740"/>
      <c r="DG110" s="740"/>
      <c r="DH110" s="740"/>
      <c r="DI110" s="740"/>
      <c r="DJ110" s="740"/>
      <c r="DK110" s="740"/>
      <c r="DL110" s="740"/>
      <c r="DM110" s="740"/>
      <c r="DN110" s="740"/>
      <c r="DO110" s="740"/>
      <c r="DP110" s="740"/>
      <c r="DQ110" s="740"/>
      <c r="DR110" s="740"/>
      <c r="DS110" s="740"/>
      <c r="DT110" s="740"/>
      <c r="DU110" s="740"/>
      <c r="DV110" s="740"/>
      <c r="DW110" s="740"/>
      <c r="DX110" s="740"/>
      <c r="DY110" s="740"/>
      <c r="DZ110" s="740"/>
      <c r="EA110" s="740"/>
      <c r="EB110" s="740"/>
      <c r="EC110" s="740"/>
      <c r="ED110" s="740"/>
      <c r="EE110" s="740"/>
      <c r="EF110" s="740"/>
      <c r="EG110" s="740"/>
      <c r="EH110" s="740"/>
      <c r="EI110" s="740"/>
      <c r="EJ110" s="740"/>
      <c r="EK110" s="740"/>
      <c r="EL110" s="740"/>
      <c r="EM110" s="740"/>
      <c r="EN110" s="740"/>
      <c r="EO110" s="740"/>
      <c r="EP110" s="740"/>
      <c r="EQ110" s="740"/>
      <c r="ER110" s="740"/>
      <c r="ES110" s="740"/>
      <c r="ET110" s="740"/>
      <c r="EU110" s="740"/>
      <c r="EV110" s="740"/>
      <c r="EW110" s="740"/>
      <c r="EX110" s="740"/>
      <c r="EY110" s="740"/>
      <c r="EZ110" s="740"/>
      <c r="FA110" s="740"/>
      <c r="FB110" s="740"/>
      <c r="FC110" s="740"/>
      <c r="FD110" s="740"/>
      <c r="FE110" s="740"/>
      <c r="FF110" s="740"/>
      <c r="FG110" s="740"/>
      <c r="FH110" s="740"/>
      <c r="FI110" s="740"/>
      <c r="FJ110" s="740"/>
      <c r="FK110" s="740"/>
      <c r="FL110" s="740"/>
      <c r="FM110" s="740"/>
      <c r="FN110" s="740"/>
      <c r="FO110" s="740"/>
      <c r="FP110" s="740"/>
      <c r="FQ110" s="740"/>
      <c r="FR110" s="740"/>
      <c r="FS110" s="740"/>
      <c r="FT110" s="740"/>
      <c r="FU110" s="740"/>
      <c r="FV110" s="740"/>
      <c r="FW110" s="740"/>
      <c r="FX110" s="740"/>
      <c r="FY110" s="740"/>
      <c r="FZ110" s="740"/>
      <c r="GA110" s="740"/>
      <c r="GB110" s="740"/>
      <c r="GC110" s="740"/>
      <c r="GD110" s="740"/>
      <c r="GE110" s="740"/>
      <c r="GF110" s="740"/>
      <c r="GG110" s="740"/>
      <c r="GH110" s="740"/>
      <c r="GI110" s="740"/>
      <c r="GJ110" s="740"/>
      <c r="GK110" s="740"/>
      <c r="GL110" s="740"/>
      <c r="GM110" s="740"/>
      <c r="GN110" s="740"/>
      <c r="GO110" s="740"/>
      <c r="GP110" s="740"/>
      <c r="GQ110" s="740"/>
      <c r="GR110" s="740"/>
      <c r="GS110" s="740"/>
      <c r="GT110" s="740"/>
      <c r="GU110" s="740"/>
      <c r="GV110" s="740"/>
      <c r="GW110" s="740"/>
    </row>
    <row r="111" spans="1:205" ht="20.100000000000001" customHeight="1" x14ac:dyDescent="0.2">
      <c r="A111" s="2503"/>
      <c r="D111" s="982"/>
      <c r="E111" s="1177" t="s">
        <v>1049</v>
      </c>
      <c r="F111" s="1109" t="s">
        <v>961</v>
      </c>
      <c r="G111" s="1114">
        <f>L41</f>
        <v>0</v>
      </c>
      <c r="H111" s="1114">
        <f>N41</f>
        <v>20</v>
      </c>
      <c r="I111" s="1115">
        <f>P41</f>
        <v>40</v>
      </c>
      <c r="J111" s="1096"/>
      <c r="K111" s="1112">
        <f>$G$109*G111/100/V111</f>
        <v>0</v>
      </c>
      <c r="L111" s="1101"/>
      <c r="M111" s="1113">
        <f>$H$109*H111/100/V111</f>
        <v>0.92138939670932363</v>
      </c>
      <c r="N111" s="1101"/>
      <c r="O111" s="1113">
        <f>$I$109*I111/100/V111</f>
        <v>1.6380255941499087</v>
      </c>
      <c r="P111" s="1172"/>
      <c r="Q111" s="724" t="s">
        <v>1049</v>
      </c>
      <c r="R111" s="981"/>
      <c r="S111" s="1973">
        <v>8205</v>
      </c>
      <c r="T111" s="1061"/>
      <c r="U111" s="1977">
        <v>14</v>
      </c>
      <c r="V111" s="1979">
        <f>S111/U111</f>
        <v>586.07142857142856</v>
      </c>
      <c r="W111" s="1977"/>
      <c r="X111" s="1052"/>
      <c r="Y111" s="1052"/>
      <c r="Z111" s="1052"/>
      <c r="AA111" s="740"/>
      <c r="AB111" s="740"/>
      <c r="AC111" s="740"/>
      <c r="AD111" s="740"/>
      <c r="AE111" s="740"/>
      <c r="AF111" s="740"/>
      <c r="AG111" s="740"/>
      <c r="AH111" s="740"/>
      <c r="AI111" s="740"/>
      <c r="AJ111" s="740"/>
      <c r="AK111" s="740"/>
      <c r="AL111" s="740"/>
      <c r="AM111" s="740"/>
      <c r="AN111" s="740"/>
      <c r="AO111" s="740"/>
      <c r="AP111" s="740"/>
      <c r="AQ111" s="740"/>
      <c r="AR111" s="740"/>
      <c r="AS111" s="740"/>
      <c r="AT111" s="740"/>
      <c r="AU111" s="740"/>
      <c r="AV111" s="740"/>
      <c r="AW111" s="740"/>
      <c r="AX111" s="740"/>
      <c r="AY111" s="740"/>
      <c r="AZ111" s="740"/>
      <c r="BA111" s="740"/>
      <c r="BB111" s="740"/>
      <c r="BC111" s="740"/>
      <c r="BD111" s="740"/>
      <c r="BE111" s="740"/>
      <c r="BF111" s="740"/>
      <c r="BG111" s="740"/>
      <c r="BH111" s="740"/>
      <c r="BI111" s="740"/>
      <c r="BJ111" s="740"/>
      <c r="BK111" s="740"/>
      <c r="BL111" s="740"/>
      <c r="BM111" s="740"/>
      <c r="BN111" s="740"/>
      <c r="BO111" s="740"/>
      <c r="BP111" s="740"/>
      <c r="BQ111" s="740"/>
      <c r="BR111" s="740"/>
      <c r="BS111" s="740"/>
      <c r="BT111" s="740"/>
      <c r="BU111" s="740"/>
      <c r="BV111" s="740"/>
      <c r="BW111" s="740"/>
      <c r="BX111" s="740"/>
      <c r="BY111" s="740"/>
      <c r="BZ111" s="740"/>
      <c r="CA111" s="740"/>
      <c r="CB111" s="740"/>
      <c r="CC111" s="740"/>
      <c r="CD111" s="740"/>
      <c r="CE111" s="740"/>
      <c r="CF111" s="740"/>
      <c r="CG111" s="740"/>
      <c r="CH111" s="740"/>
      <c r="CI111" s="740"/>
      <c r="CJ111" s="740"/>
      <c r="CK111" s="740"/>
      <c r="CL111" s="740"/>
      <c r="CM111" s="740"/>
      <c r="CN111" s="740"/>
      <c r="CO111" s="740"/>
      <c r="CP111" s="740"/>
      <c r="CQ111" s="740"/>
      <c r="CR111" s="740"/>
      <c r="CS111" s="740"/>
      <c r="CT111" s="740"/>
      <c r="CU111" s="740"/>
      <c r="CV111" s="740"/>
      <c r="CW111" s="740"/>
      <c r="CX111" s="740"/>
      <c r="CY111" s="740"/>
      <c r="CZ111" s="740"/>
      <c r="DA111" s="740"/>
      <c r="DB111" s="740"/>
      <c r="DC111" s="740"/>
      <c r="DD111" s="740"/>
      <c r="DE111" s="740"/>
      <c r="DF111" s="740"/>
      <c r="DG111" s="740"/>
      <c r="DH111" s="740"/>
      <c r="DI111" s="740"/>
      <c r="DJ111" s="740"/>
      <c r="DK111" s="740"/>
      <c r="DL111" s="740"/>
      <c r="DM111" s="740"/>
      <c r="DN111" s="740"/>
      <c r="DO111" s="740"/>
      <c r="DP111" s="740"/>
      <c r="DQ111" s="740"/>
      <c r="DR111" s="740"/>
      <c r="DS111" s="740"/>
      <c r="DT111" s="740"/>
      <c r="DU111" s="740"/>
      <c r="DV111" s="740"/>
      <c r="DW111" s="740"/>
      <c r="DX111" s="740"/>
      <c r="DY111" s="740"/>
      <c r="DZ111" s="740"/>
      <c r="EA111" s="740"/>
      <c r="EB111" s="740"/>
      <c r="EC111" s="740"/>
      <c r="ED111" s="740"/>
      <c r="EE111" s="740"/>
      <c r="EF111" s="740"/>
      <c r="EG111" s="740"/>
      <c r="EH111" s="740"/>
      <c r="EI111" s="740"/>
      <c r="EJ111" s="740"/>
      <c r="EK111" s="740"/>
      <c r="EL111" s="740"/>
      <c r="EM111" s="740"/>
      <c r="EN111" s="740"/>
      <c r="EO111" s="740"/>
      <c r="EP111" s="740"/>
      <c r="EQ111" s="740"/>
      <c r="ER111" s="740"/>
      <c r="ES111" s="740"/>
      <c r="ET111" s="740"/>
      <c r="EU111" s="740"/>
      <c r="EV111" s="740"/>
      <c r="EW111" s="740"/>
      <c r="EX111" s="740"/>
      <c r="EY111" s="740"/>
      <c r="EZ111" s="740"/>
      <c r="FA111" s="740"/>
      <c r="FB111" s="740"/>
      <c r="FC111" s="740"/>
      <c r="FD111" s="740"/>
      <c r="FE111" s="740"/>
      <c r="FF111" s="740"/>
      <c r="FG111" s="740"/>
      <c r="FH111" s="740"/>
      <c r="FI111" s="740"/>
      <c r="FJ111" s="740"/>
      <c r="FK111" s="740"/>
      <c r="FL111" s="740"/>
      <c r="FM111" s="740"/>
      <c r="FN111" s="740"/>
      <c r="FO111" s="740"/>
      <c r="FP111" s="740"/>
      <c r="FQ111" s="740"/>
      <c r="FR111" s="740"/>
      <c r="FS111" s="740"/>
      <c r="FT111" s="740"/>
      <c r="FU111" s="740"/>
      <c r="FV111" s="740"/>
      <c r="FW111" s="740"/>
      <c r="FX111" s="740"/>
      <c r="FY111" s="740"/>
      <c r="FZ111" s="740"/>
      <c r="GA111" s="740"/>
      <c r="GB111" s="740"/>
      <c r="GC111" s="740"/>
      <c r="GD111" s="740"/>
      <c r="GE111" s="740"/>
      <c r="GF111" s="740"/>
      <c r="GG111" s="740"/>
      <c r="GH111" s="740"/>
      <c r="GI111" s="740"/>
      <c r="GJ111" s="740"/>
      <c r="GK111" s="740"/>
      <c r="GL111" s="740"/>
      <c r="GM111" s="740"/>
      <c r="GN111" s="740"/>
      <c r="GO111" s="740"/>
      <c r="GP111" s="740"/>
      <c r="GQ111" s="740"/>
      <c r="GR111" s="740"/>
      <c r="GS111" s="740"/>
      <c r="GT111" s="740"/>
      <c r="GU111" s="740"/>
      <c r="GV111" s="740"/>
      <c r="GW111" s="740"/>
    </row>
    <row r="112" spans="1:205" ht="20.100000000000001" customHeight="1" x14ac:dyDescent="0.2">
      <c r="A112" s="2503"/>
      <c r="D112" s="982"/>
      <c r="E112" s="1177" t="s">
        <v>248</v>
      </c>
      <c r="F112" s="1109" t="s">
        <v>961</v>
      </c>
      <c r="G112" s="1114">
        <f>L47</f>
        <v>40</v>
      </c>
      <c r="H112" s="1114">
        <f>N47</f>
        <v>30</v>
      </c>
      <c r="I112" s="1115">
        <f>P47</f>
        <v>20</v>
      </c>
      <c r="J112" s="1116"/>
      <c r="K112" s="1117">
        <f>$G$109*G112/100/V112</f>
        <v>4.129032258064516</v>
      </c>
      <c r="L112" s="1118"/>
      <c r="M112" s="1119">
        <f>$H$109*H112/100/V112</f>
        <v>2.6129032258064515</v>
      </c>
      <c r="N112" s="1118"/>
      <c r="O112" s="1119">
        <f>$I$109*I112/100/V112</f>
        <v>1.5483870967741935</v>
      </c>
      <c r="P112" s="1178"/>
      <c r="Q112" s="1062" t="s">
        <v>248</v>
      </c>
      <c r="R112" s="1063"/>
      <c r="S112" s="1974">
        <v>4960</v>
      </c>
      <c r="T112" s="1064"/>
      <c r="U112" s="1978">
        <v>16</v>
      </c>
      <c r="V112" s="1980">
        <f>S112/U112</f>
        <v>310</v>
      </c>
      <c r="W112" s="1065"/>
      <c r="X112" s="1052"/>
      <c r="Y112" s="1052"/>
      <c r="Z112" s="1052"/>
      <c r="AA112" s="740" t="s">
        <v>750</v>
      </c>
      <c r="AB112" s="740"/>
      <c r="AC112" s="740"/>
      <c r="AD112" s="740"/>
      <c r="AE112" s="740"/>
      <c r="AF112" s="740"/>
      <c r="AG112" s="740"/>
      <c r="AH112" s="740"/>
      <c r="AI112" s="740"/>
      <c r="AJ112" s="740"/>
      <c r="AK112" s="740"/>
      <c r="AL112" s="740"/>
      <c r="AM112" s="740"/>
      <c r="AN112" s="740"/>
      <c r="AO112" s="740"/>
      <c r="AP112" s="740"/>
      <c r="AQ112" s="740"/>
      <c r="AR112" s="740"/>
      <c r="AS112" s="740"/>
      <c r="AT112" s="740"/>
      <c r="AU112" s="740"/>
      <c r="AV112" s="740"/>
      <c r="AW112" s="740"/>
      <c r="AX112" s="740"/>
      <c r="AY112" s="740"/>
      <c r="AZ112" s="740"/>
      <c r="BA112" s="740"/>
      <c r="BB112" s="740"/>
      <c r="BC112" s="740"/>
      <c r="BD112" s="740"/>
      <c r="BE112" s="740"/>
      <c r="BF112" s="740"/>
      <c r="BG112" s="740"/>
      <c r="BH112" s="740"/>
      <c r="BI112" s="740"/>
      <c r="BJ112" s="740"/>
      <c r="BK112" s="740"/>
      <c r="BL112" s="740"/>
      <c r="BM112" s="740"/>
      <c r="BN112" s="740"/>
      <c r="BO112" s="740"/>
      <c r="BP112" s="740"/>
      <c r="BQ112" s="740"/>
      <c r="BR112" s="740"/>
      <c r="BS112" s="740"/>
      <c r="BT112" s="740"/>
      <c r="BU112" s="740"/>
      <c r="BV112" s="740"/>
      <c r="BW112" s="740"/>
      <c r="BX112" s="740"/>
      <c r="BY112" s="740"/>
      <c r="BZ112" s="740"/>
      <c r="CA112" s="740"/>
      <c r="CB112" s="740"/>
      <c r="CC112" s="740"/>
      <c r="CD112" s="740"/>
      <c r="CE112" s="740"/>
      <c r="CF112" s="740"/>
      <c r="CG112" s="740"/>
      <c r="CH112" s="740"/>
      <c r="CI112" s="740"/>
      <c r="CJ112" s="740"/>
      <c r="CK112" s="740"/>
      <c r="CL112" s="740"/>
      <c r="CM112" s="740"/>
      <c r="CN112" s="740"/>
      <c r="CO112" s="740"/>
      <c r="CP112" s="740"/>
      <c r="CQ112" s="740"/>
      <c r="CR112" s="740"/>
      <c r="CS112" s="740"/>
      <c r="CT112" s="740"/>
      <c r="CU112" s="740"/>
      <c r="CV112" s="740"/>
      <c r="CW112" s="740"/>
      <c r="CX112" s="740"/>
      <c r="CY112" s="740"/>
      <c r="CZ112" s="740"/>
      <c r="DA112" s="740"/>
      <c r="DB112" s="740"/>
      <c r="DC112" s="740"/>
      <c r="DD112" s="740"/>
      <c r="DE112" s="740"/>
      <c r="DF112" s="740"/>
      <c r="DG112" s="740"/>
      <c r="DH112" s="740"/>
      <c r="DI112" s="740"/>
      <c r="DJ112" s="740"/>
      <c r="DK112" s="740"/>
      <c r="DL112" s="740"/>
      <c r="DM112" s="740"/>
      <c r="DN112" s="740"/>
      <c r="DO112" s="740"/>
      <c r="DP112" s="740"/>
      <c r="DQ112" s="740"/>
      <c r="DR112" s="740"/>
      <c r="DS112" s="740"/>
      <c r="DT112" s="740"/>
      <c r="DU112" s="740"/>
      <c r="DV112" s="740"/>
      <c r="DW112" s="740"/>
      <c r="DX112" s="740"/>
      <c r="DY112" s="740"/>
      <c r="DZ112" s="740"/>
      <c r="EA112" s="740"/>
      <c r="EB112" s="740"/>
      <c r="EC112" s="740"/>
      <c r="ED112" s="740"/>
      <c r="EE112" s="740"/>
      <c r="EF112" s="740"/>
      <c r="EG112" s="740"/>
      <c r="EH112" s="740"/>
      <c r="EI112" s="740"/>
      <c r="EJ112" s="740"/>
      <c r="EK112" s="740"/>
      <c r="EL112" s="740"/>
      <c r="EM112" s="740"/>
      <c r="EN112" s="740"/>
      <c r="EO112" s="740"/>
      <c r="EP112" s="740"/>
      <c r="EQ112" s="740"/>
      <c r="ER112" s="740"/>
      <c r="ES112" s="740"/>
      <c r="ET112" s="740"/>
      <c r="EU112" s="740"/>
      <c r="EV112" s="740"/>
      <c r="EW112" s="740"/>
      <c r="EX112" s="740"/>
      <c r="EY112" s="740"/>
      <c r="EZ112" s="740"/>
      <c r="FA112" s="740"/>
      <c r="FB112" s="740"/>
      <c r="FC112" s="740"/>
      <c r="FD112" s="740"/>
      <c r="FE112" s="740"/>
      <c r="FF112" s="740"/>
      <c r="FG112" s="740"/>
      <c r="FH112" s="740"/>
      <c r="FI112" s="740"/>
      <c r="FJ112" s="740"/>
      <c r="FK112" s="740"/>
      <c r="FL112" s="740"/>
      <c r="FM112" s="740"/>
      <c r="FN112" s="740"/>
      <c r="FO112" s="740"/>
      <c r="FP112" s="740"/>
      <c r="FQ112" s="740"/>
      <c r="FR112" s="740"/>
      <c r="FS112" s="740"/>
      <c r="FT112" s="740"/>
      <c r="FU112" s="740"/>
      <c r="FV112" s="740"/>
      <c r="FW112" s="740"/>
      <c r="FX112" s="740"/>
      <c r="FY112" s="740"/>
      <c r="FZ112" s="740"/>
      <c r="GA112" s="740"/>
      <c r="GB112" s="740"/>
      <c r="GC112" s="740"/>
      <c r="GD112" s="740"/>
      <c r="GE112" s="740"/>
      <c r="GF112" s="740"/>
      <c r="GG112" s="740"/>
      <c r="GH112" s="740"/>
      <c r="GI112" s="740"/>
      <c r="GJ112" s="740"/>
      <c r="GK112" s="740"/>
      <c r="GL112" s="740"/>
      <c r="GM112" s="740"/>
      <c r="GN112" s="740"/>
      <c r="GO112" s="740"/>
      <c r="GP112" s="740"/>
      <c r="GQ112" s="740"/>
      <c r="GR112" s="740"/>
      <c r="GS112" s="740"/>
      <c r="GT112" s="740"/>
      <c r="GU112" s="740"/>
      <c r="GV112" s="740"/>
      <c r="GW112" s="740"/>
    </row>
    <row r="113" spans="1:205" ht="20.100000000000001" customHeight="1" x14ac:dyDescent="0.2">
      <c r="A113" s="2503"/>
      <c r="D113" s="982"/>
      <c r="E113" s="1177" t="s">
        <v>999</v>
      </c>
      <c r="F113" s="1077" t="s">
        <v>961</v>
      </c>
      <c r="G113" s="1104">
        <f>SUM(G110:G112)</f>
        <v>100</v>
      </c>
      <c r="H113" s="1104">
        <f>SUM(H110:H112)</f>
        <v>100</v>
      </c>
      <c r="I113" s="1104">
        <f>SUM(I110:I112)</f>
        <v>100</v>
      </c>
      <c r="J113" s="1070"/>
      <c r="K113" s="1120">
        <f>SUM(K110:K112)</f>
        <v>11.686434401077856</v>
      </c>
      <c r="L113" s="1103"/>
      <c r="M113" s="1121">
        <f>SUM(M110:M112)</f>
        <v>8.8480910043220291</v>
      </c>
      <c r="N113" s="1103"/>
      <c r="O113" s="1121">
        <f>SUM(O110:O112)</f>
        <v>6.9651137624307715</v>
      </c>
      <c r="P113" s="1175"/>
      <c r="Q113" s="983"/>
      <c r="R113" s="1052"/>
      <c r="S113" s="1052"/>
      <c r="T113" s="1052"/>
      <c r="U113" s="1052"/>
      <c r="V113" s="1052"/>
      <c r="W113" s="1052"/>
      <c r="X113" s="1052"/>
      <c r="Y113" s="1052"/>
      <c r="Z113" s="1052"/>
      <c r="AA113" s="740"/>
      <c r="AB113" s="740"/>
      <c r="AC113" s="740"/>
      <c r="AD113" s="740"/>
      <c r="AE113" s="740"/>
      <c r="AF113" s="740"/>
      <c r="AG113" s="740"/>
      <c r="AH113" s="740"/>
      <c r="AI113" s="740"/>
      <c r="AJ113" s="740"/>
      <c r="AK113" s="740"/>
      <c r="AL113" s="740"/>
      <c r="AM113" s="740"/>
      <c r="AN113" s="740"/>
      <c r="AO113" s="740"/>
      <c r="AP113" s="740"/>
      <c r="AQ113" s="740"/>
      <c r="AR113" s="740"/>
      <c r="AS113" s="740"/>
      <c r="AT113" s="740"/>
      <c r="AU113" s="740"/>
      <c r="AV113" s="740"/>
      <c r="AW113" s="740"/>
      <c r="AX113" s="740"/>
      <c r="AY113" s="740"/>
      <c r="AZ113" s="740"/>
      <c r="BA113" s="740"/>
      <c r="BB113" s="740"/>
      <c r="BC113" s="740"/>
      <c r="BD113" s="740"/>
      <c r="BE113" s="740"/>
      <c r="BF113" s="740"/>
      <c r="BG113" s="740"/>
      <c r="BH113" s="740"/>
      <c r="BI113" s="740"/>
      <c r="BJ113" s="740"/>
      <c r="BK113" s="740"/>
      <c r="BL113" s="740"/>
      <c r="BM113" s="740"/>
      <c r="BN113" s="740"/>
      <c r="BO113" s="740"/>
      <c r="BP113" s="740"/>
      <c r="BQ113" s="740"/>
      <c r="BR113" s="740"/>
      <c r="BS113" s="740"/>
      <c r="BT113" s="740"/>
      <c r="BU113" s="740"/>
      <c r="BV113" s="740"/>
      <c r="BW113" s="740"/>
      <c r="BX113" s="740"/>
      <c r="BY113" s="740"/>
      <c r="BZ113" s="740"/>
      <c r="CA113" s="740"/>
      <c r="CB113" s="740"/>
      <c r="CC113" s="740"/>
      <c r="CD113" s="740"/>
      <c r="CE113" s="740"/>
      <c r="CF113" s="740"/>
      <c r="CG113" s="740"/>
      <c r="CH113" s="740"/>
      <c r="CI113" s="740"/>
      <c r="CJ113" s="740"/>
      <c r="CK113" s="740"/>
      <c r="CL113" s="740"/>
      <c r="CM113" s="740"/>
      <c r="CN113" s="740"/>
      <c r="CO113" s="740"/>
      <c r="CP113" s="740"/>
      <c r="CQ113" s="740"/>
      <c r="CR113" s="740"/>
      <c r="CS113" s="740"/>
      <c r="CT113" s="740"/>
      <c r="CU113" s="740"/>
      <c r="CV113" s="740"/>
      <c r="CW113" s="740"/>
      <c r="CX113" s="740"/>
      <c r="CY113" s="740"/>
      <c r="CZ113" s="740"/>
      <c r="DA113" s="740"/>
      <c r="DB113" s="740"/>
      <c r="DC113" s="740"/>
      <c r="DD113" s="740"/>
      <c r="DE113" s="740"/>
      <c r="DF113" s="740"/>
      <c r="DG113" s="740"/>
      <c r="DH113" s="740"/>
      <c r="DI113" s="740"/>
      <c r="DJ113" s="740"/>
      <c r="DK113" s="740"/>
      <c r="DL113" s="740"/>
      <c r="DM113" s="740"/>
      <c r="DN113" s="740"/>
      <c r="DO113" s="740"/>
      <c r="DP113" s="740"/>
      <c r="DQ113" s="740"/>
      <c r="DR113" s="740"/>
      <c r="DS113" s="740"/>
      <c r="DT113" s="740"/>
      <c r="DU113" s="740"/>
      <c r="DV113" s="740"/>
      <c r="DW113" s="740"/>
      <c r="DX113" s="740"/>
      <c r="DY113" s="740"/>
      <c r="DZ113" s="740"/>
      <c r="EA113" s="740"/>
      <c r="EB113" s="740"/>
      <c r="EC113" s="740"/>
      <c r="ED113" s="740"/>
      <c r="EE113" s="740"/>
      <c r="EF113" s="740"/>
      <c r="EG113" s="740"/>
      <c r="EH113" s="740"/>
      <c r="EI113" s="740"/>
      <c r="EJ113" s="740"/>
      <c r="EK113" s="740"/>
      <c r="EL113" s="740"/>
      <c r="EM113" s="740"/>
      <c r="EN113" s="740"/>
      <c r="EO113" s="740"/>
      <c r="EP113" s="740"/>
      <c r="EQ113" s="740"/>
      <c r="ER113" s="740"/>
      <c r="ES113" s="740"/>
      <c r="ET113" s="740"/>
      <c r="EU113" s="740"/>
      <c r="EV113" s="740"/>
      <c r="EW113" s="740"/>
      <c r="EX113" s="740"/>
      <c r="EY113" s="740"/>
      <c r="EZ113" s="740"/>
      <c r="FA113" s="740"/>
      <c r="FB113" s="740"/>
      <c r="FC113" s="740"/>
      <c r="FD113" s="740"/>
      <c r="FE113" s="740"/>
      <c r="FF113" s="740"/>
      <c r="FG113" s="740"/>
      <c r="FH113" s="740"/>
      <c r="FI113" s="740"/>
      <c r="FJ113" s="740"/>
      <c r="FK113" s="740"/>
      <c r="FL113" s="740"/>
      <c r="FM113" s="740"/>
      <c r="FN113" s="740"/>
      <c r="FO113" s="740"/>
      <c r="FP113" s="740"/>
      <c r="FQ113" s="740"/>
      <c r="FR113" s="740"/>
      <c r="FS113" s="740"/>
      <c r="FT113" s="740"/>
      <c r="FU113" s="740"/>
      <c r="FV113" s="740"/>
      <c r="FW113" s="740"/>
      <c r="FX113" s="740"/>
      <c r="FY113" s="740"/>
      <c r="FZ113" s="740"/>
      <c r="GA113" s="740"/>
      <c r="GB113" s="740"/>
      <c r="GC113" s="740"/>
      <c r="GD113" s="740"/>
      <c r="GE113" s="740"/>
      <c r="GF113" s="740"/>
      <c r="GG113" s="740"/>
      <c r="GH113" s="740"/>
      <c r="GI113" s="740"/>
      <c r="GJ113" s="740"/>
      <c r="GK113" s="740"/>
      <c r="GL113" s="740"/>
      <c r="GM113" s="740"/>
      <c r="GN113" s="740"/>
      <c r="GO113" s="740"/>
      <c r="GP113" s="740"/>
      <c r="GQ113" s="740"/>
      <c r="GR113" s="740"/>
      <c r="GS113" s="740"/>
      <c r="GT113" s="740"/>
      <c r="GU113" s="740"/>
      <c r="GV113" s="740"/>
      <c r="GW113" s="740"/>
    </row>
    <row r="114" spans="1:205" ht="20.100000000000001" customHeight="1" x14ac:dyDescent="0.2">
      <c r="A114" s="2503"/>
      <c r="D114" s="982"/>
      <c r="E114" s="1137"/>
      <c r="F114" s="982"/>
      <c r="G114" s="982"/>
      <c r="H114" s="982"/>
      <c r="I114" s="984"/>
      <c r="J114" s="1085"/>
      <c r="K114" s="985"/>
      <c r="L114" s="1085"/>
      <c r="M114" s="985"/>
      <c r="N114" s="1085"/>
      <c r="O114" s="985"/>
      <c r="P114" s="1163"/>
      <c r="Q114" s="983"/>
      <c r="R114" s="1052"/>
      <c r="S114" s="1052"/>
      <c r="T114" s="1052"/>
      <c r="U114" s="1052"/>
      <c r="V114" s="1052"/>
      <c r="W114" s="1052"/>
      <c r="X114" s="1052"/>
      <c r="Y114" s="1052"/>
      <c r="Z114" s="1052"/>
      <c r="AA114" s="740"/>
      <c r="AB114" s="740"/>
      <c r="AC114" s="740"/>
      <c r="AD114" s="740"/>
      <c r="AE114" s="740"/>
      <c r="AF114" s="740"/>
      <c r="AG114" s="740"/>
      <c r="AH114" s="740"/>
      <c r="AI114" s="740"/>
      <c r="AJ114" s="740"/>
      <c r="AK114" s="740"/>
      <c r="AL114" s="740"/>
      <c r="AM114" s="740"/>
      <c r="AN114" s="740"/>
      <c r="AO114" s="740"/>
      <c r="AP114" s="740"/>
      <c r="AQ114" s="740"/>
      <c r="AR114" s="740"/>
      <c r="AS114" s="740"/>
      <c r="AT114" s="740"/>
      <c r="AU114" s="740"/>
      <c r="AV114" s="740"/>
      <c r="AW114" s="740"/>
      <c r="AX114" s="740"/>
      <c r="AY114" s="740"/>
      <c r="AZ114" s="740"/>
      <c r="BA114" s="740"/>
      <c r="BB114" s="740"/>
      <c r="BC114" s="740"/>
      <c r="BD114" s="740"/>
      <c r="BE114" s="740"/>
      <c r="BF114" s="740"/>
      <c r="BG114" s="740"/>
      <c r="BH114" s="740"/>
      <c r="BI114" s="740"/>
      <c r="BJ114" s="740"/>
      <c r="BK114" s="740"/>
      <c r="BL114" s="740"/>
      <c r="BM114" s="740"/>
      <c r="BN114" s="740"/>
      <c r="BO114" s="740"/>
      <c r="BP114" s="740"/>
      <c r="BQ114" s="740"/>
      <c r="BR114" s="740"/>
      <c r="BS114" s="740"/>
      <c r="BT114" s="740"/>
      <c r="BU114" s="740"/>
      <c r="BV114" s="740"/>
      <c r="BW114" s="740"/>
      <c r="BX114" s="740"/>
      <c r="BY114" s="740"/>
      <c r="BZ114" s="740"/>
      <c r="CA114" s="740"/>
      <c r="CB114" s="740"/>
      <c r="CC114" s="740"/>
      <c r="CD114" s="740"/>
      <c r="CE114" s="740"/>
      <c r="CF114" s="740"/>
      <c r="CG114" s="740"/>
      <c r="CH114" s="740"/>
      <c r="CI114" s="740"/>
      <c r="CJ114" s="740"/>
      <c r="CK114" s="740"/>
      <c r="CL114" s="740"/>
      <c r="CM114" s="740"/>
      <c r="CN114" s="740"/>
      <c r="CO114" s="740"/>
      <c r="CP114" s="740"/>
      <c r="CQ114" s="740"/>
      <c r="CR114" s="740"/>
      <c r="CS114" s="740"/>
      <c r="CT114" s="740"/>
      <c r="CU114" s="740"/>
      <c r="CV114" s="740"/>
      <c r="CW114" s="740"/>
      <c r="CX114" s="740"/>
      <c r="CY114" s="740"/>
      <c r="CZ114" s="740"/>
      <c r="DA114" s="740"/>
      <c r="DB114" s="740"/>
      <c r="DC114" s="740"/>
      <c r="DD114" s="740"/>
      <c r="DE114" s="740"/>
      <c r="DF114" s="740"/>
      <c r="DG114" s="740"/>
      <c r="DH114" s="740"/>
      <c r="DI114" s="740"/>
      <c r="DJ114" s="740"/>
      <c r="DK114" s="740"/>
      <c r="DL114" s="740"/>
      <c r="DM114" s="740"/>
      <c r="DN114" s="740"/>
      <c r="DO114" s="740"/>
      <c r="DP114" s="740"/>
      <c r="DQ114" s="740"/>
      <c r="DR114" s="740"/>
      <c r="DS114" s="740"/>
      <c r="DT114" s="740"/>
      <c r="DU114" s="740"/>
      <c r="DV114" s="740"/>
      <c r="DW114" s="740"/>
      <c r="DX114" s="740"/>
      <c r="DY114" s="740"/>
      <c r="DZ114" s="740"/>
      <c r="EA114" s="740"/>
      <c r="EB114" s="740"/>
      <c r="EC114" s="740"/>
      <c r="ED114" s="740"/>
      <c r="EE114" s="740"/>
      <c r="EF114" s="740"/>
      <c r="EG114" s="740"/>
      <c r="EH114" s="740"/>
      <c r="EI114" s="740"/>
      <c r="EJ114" s="740"/>
      <c r="EK114" s="740"/>
      <c r="EL114" s="740"/>
      <c r="EM114" s="740"/>
      <c r="EN114" s="740"/>
      <c r="EO114" s="740"/>
      <c r="EP114" s="740"/>
      <c r="EQ114" s="740"/>
      <c r="ER114" s="740"/>
      <c r="ES114" s="740"/>
      <c r="ET114" s="740"/>
      <c r="EU114" s="740"/>
      <c r="EV114" s="740"/>
      <c r="EW114" s="740"/>
      <c r="EX114" s="740"/>
      <c r="EY114" s="740"/>
      <c r="EZ114" s="740"/>
      <c r="FA114" s="740"/>
      <c r="FB114" s="740"/>
      <c r="FC114" s="740"/>
      <c r="FD114" s="740"/>
      <c r="FE114" s="740"/>
      <c r="FF114" s="740"/>
      <c r="FG114" s="740"/>
      <c r="FH114" s="740"/>
      <c r="FI114" s="740"/>
      <c r="FJ114" s="740"/>
      <c r="FK114" s="740"/>
      <c r="FL114" s="740"/>
      <c r="FM114" s="740"/>
      <c r="FN114" s="740"/>
      <c r="FO114" s="740"/>
      <c r="FP114" s="740"/>
      <c r="FQ114" s="740"/>
      <c r="FR114" s="740"/>
      <c r="FS114" s="740"/>
      <c r="FT114" s="740"/>
      <c r="FU114" s="740"/>
      <c r="FV114" s="740"/>
      <c r="FW114" s="740"/>
      <c r="FX114" s="740"/>
      <c r="FY114" s="740"/>
      <c r="FZ114" s="740"/>
      <c r="GA114" s="740"/>
      <c r="GB114" s="740"/>
      <c r="GC114" s="740"/>
      <c r="GD114" s="740"/>
      <c r="GE114" s="740"/>
      <c r="GF114" s="740"/>
      <c r="GG114" s="740"/>
      <c r="GH114" s="740"/>
      <c r="GI114" s="740"/>
      <c r="GJ114" s="740"/>
      <c r="GK114" s="740"/>
      <c r="GL114" s="740"/>
      <c r="GM114" s="740"/>
      <c r="GN114" s="740"/>
      <c r="GO114" s="740"/>
      <c r="GP114" s="740"/>
      <c r="GQ114" s="740"/>
      <c r="GR114" s="740"/>
      <c r="GS114" s="740"/>
      <c r="GT114" s="740"/>
      <c r="GU114" s="740"/>
      <c r="GV114" s="740"/>
      <c r="GW114" s="740"/>
    </row>
    <row r="115" spans="1:205" ht="20.100000000000001" customHeight="1" thickBot="1" x14ac:dyDescent="0.25">
      <c r="A115" s="2503"/>
      <c r="D115" s="982"/>
      <c r="E115" s="1340" t="s">
        <v>496</v>
      </c>
      <c r="F115" s="1179" t="s">
        <v>552</v>
      </c>
      <c r="G115" s="1180"/>
      <c r="H115" s="1181"/>
      <c r="I115" s="1186" t="s">
        <v>543</v>
      </c>
      <c r="J115" s="1182"/>
      <c r="K115" s="1183">
        <f>K98+K106+K113</f>
        <v>35.859434401077856</v>
      </c>
      <c r="L115" s="1184"/>
      <c r="M115" s="1183">
        <f>M98+M106+M113</f>
        <v>32.321024337655359</v>
      </c>
      <c r="N115" s="1184"/>
      <c r="O115" s="1183">
        <f>O98+O106+O113</f>
        <v>29.636580429097439</v>
      </c>
      <c r="P115" s="1185"/>
      <c r="Q115" s="983"/>
      <c r="R115" s="1052"/>
      <c r="S115" s="1052"/>
      <c r="T115" s="1052"/>
      <c r="U115" s="1052"/>
      <c r="V115" s="1052"/>
      <c r="W115" s="1052"/>
      <c r="X115" s="1052"/>
      <c r="Y115" s="1052"/>
      <c r="Z115" s="1052"/>
      <c r="AA115" s="740"/>
      <c r="AB115" s="740"/>
      <c r="AC115" s="740"/>
      <c r="AD115" s="740"/>
      <c r="AE115" s="740"/>
      <c r="AF115" s="740"/>
      <c r="AG115" s="740"/>
      <c r="AH115" s="740"/>
      <c r="AI115" s="740"/>
      <c r="AJ115" s="740"/>
      <c r="AK115" s="740"/>
      <c r="AL115" s="740"/>
      <c r="AM115" s="740"/>
      <c r="AN115" s="740"/>
      <c r="AO115" s="740"/>
      <c r="AP115" s="740"/>
      <c r="AQ115" s="740"/>
      <c r="AR115" s="740"/>
      <c r="AS115" s="740"/>
      <c r="AT115" s="740"/>
      <c r="AU115" s="740"/>
      <c r="AV115" s="740"/>
      <c r="AW115" s="740"/>
      <c r="AX115" s="740"/>
      <c r="AY115" s="740"/>
      <c r="AZ115" s="740"/>
      <c r="BA115" s="740"/>
      <c r="BB115" s="740"/>
      <c r="BC115" s="740"/>
      <c r="BD115" s="740"/>
      <c r="BE115" s="740"/>
      <c r="BF115" s="740"/>
      <c r="BG115" s="740"/>
      <c r="BH115" s="740"/>
      <c r="BI115" s="740"/>
      <c r="BJ115" s="740"/>
      <c r="BK115" s="740"/>
      <c r="BL115" s="740"/>
      <c r="BM115" s="740"/>
      <c r="BN115" s="740"/>
      <c r="BO115" s="740"/>
      <c r="BP115" s="740"/>
      <c r="BQ115" s="740"/>
      <c r="BR115" s="740"/>
      <c r="BS115" s="740"/>
      <c r="BT115" s="740"/>
      <c r="BU115" s="740"/>
      <c r="BV115" s="740"/>
      <c r="BW115" s="740"/>
      <c r="BX115" s="740"/>
      <c r="BY115" s="740"/>
      <c r="BZ115" s="740"/>
      <c r="CA115" s="740"/>
      <c r="CB115" s="740"/>
      <c r="CC115" s="740"/>
      <c r="CD115" s="740"/>
      <c r="CE115" s="740"/>
      <c r="CF115" s="740"/>
      <c r="CG115" s="740"/>
      <c r="CH115" s="740"/>
      <c r="CI115" s="740"/>
      <c r="CJ115" s="740"/>
      <c r="CK115" s="740"/>
      <c r="CL115" s="740"/>
      <c r="CM115" s="740"/>
      <c r="CN115" s="740"/>
      <c r="CO115" s="740"/>
      <c r="CP115" s="740"/>
      <c r="CQ115" s="740"/>
      <c r="CR115" s="740"/>
      <c r="CS115" s="740"/>
      <c r="CT115" s="740"/>
      <c r="CU115" s="740"/>
      <c r="CV115" s="740"/>
      <c r="CW115" s="740"/>
      <c r="CX115" s="740"/>
      <c r="CY115" s="740"/>
      <c r="CZ115" s="740"/>
      <c r="DA115" s="740"/>
      <c r="DB115" s="740"/>
      <c r="DC115" s="740"/>
      <c r="DD115" s="740"/>
      <c r="DE115" s="740"/>
      <c r="DF115" s="740"/>
      <c r="DG115" s="740"/>
      <c r="DH115" s="740"/>
      <c r="DI115" s="740"/>
      <c r="DJ115" s="740"/>
      <c r="DK115" s="740"/>
      <c r="DL115" s="740"/>
      <c r="DM115" s="740"/>
      <c r="DN115" s="740"/>
      <c r="DO115" s="740"/>
      <c r="DP115" s="740"/>
      <c r="DQ115" s="740"/>
      <c r="DR115" s="740"/>
      <c r="DS115" s="740"/>
      <c r="DT115" s="740"/>
      <c r="DU115" s="740"/>
      <c r="DV115" s="740"/>
      <c r="DW115" s="740"/>
      <c r="DX115" s="740"/>
      <c r="DY115" s="740"/>
      <c r="DZ115" s="740"/>
      <c r="EA115" s="740"/>
      <c r="EB115" s="740"/>
      <c r="EC115" s="740"/>
      <c r="ED115" s="740"/>
      <c r="EE115" s="740"/>
      <c r="EF115" s="740"/>
      <c r="EG115" s="740"/>
      <c r="EH115" s="740"/>
      <c r="EI115" s="740"/>
      <c r="EJ115" s="740"/>
      <c r="EK115" s="740"/>
      <c r="EL115" s="740"/>
      <c r="EM115" s="740"/>
      <c r="EN115" s="740"/>
      <c r="EO115" s="740"/>
      <c r="EP115" s="740"/>
      <c r="EQ115" s="740"/>
      <c r="ER115" s="740"/>
      <c r="ES115" s="740"/>
      <c r="ET115" s="740"/>
      <c r="EU115" s="740"/>
      <c r="EV115" s="740"/>
      <c r="EW115" s="740"/>
      <c r="EX115" s="740"/>
      <c r="EY115" s="740"/>
      <c r="EZ115" s="740"/>
      <c r="FA115" s="740"/>
      <c r="FB115" s="740"/>
      <c r="FC115" s="740"/>
      <c r="FD115" s="740"/>
      <c r="FE115" s="740"/>
      <c r="FF115" s="740"/>
      <c r="FG115" s="740"/>
      <c r="FH115" s="740"/>
      <c r="FI115" s="740"/>
      <c r="FJ115" s="740"/>
      <c r="FK115" s="740"/>
      <c r="FL115" s="740"/>
      <c r="FM115" s="740"/>
      <c r="FN115" s="740"/>
      <c r="FO115" s="740"/>
      <c r="FP115" s="740"/>
      <c r="FQ115" s="740"/>
      <c r="FR115" s="740"/>
      <c r="FS115" s="740"/>
      <c r="FT115" s="740"/>
      <c r="FU115" s="740"/>
      <c r="FV115" s="740"/>
      <c r="FW115" s="740"/>
      <c r="FX115" s="740"/>
      <c r="FY115" s="740"/>
      <c r="FZ115" s="740"/>
      <c r="GA115" s="740"/>
      <c r="GB115" s="740"/>
      <c r="GC115" s="740"/>
      <c r="GD115" s="740"/>
      <c r="GE115" s="740"/>
      <c r="GF115" s="740"/>
      <c r="GG115" s="740"/>
      <c r="GH115" s="740"/>
      <c r="GI115" s="740"/>
      <c r="GJ115" s="740"/>
      <c r="GK115" s="740"/>
      <c r="GL115" s="740"/>
      <c r="GM115" s="740"/>
      <c r="GN115" s="740"/>
      <c r="GO115" s="740"/>
      <c r="GP115" s="740"/>
      <c r="GQ115" s="740"/>
      <c r="GR115" s="740"/>
      <c r="GS115" s="740"/>
      <c r="GT115" s="740"/>
      <c r="GU115" s="740"/>
      <c r="GV115" s="740"/>
      <c r="GW115" s="740"/>
    </row>
    <row r="116" spans="1:205" ht="24" customHeight="1" x14ac:dyDescent="0.2">
      <c r="A116" s="2503"/>
      <c r="D116" s="982"/>
      <c r="E116" s="982"/>
      <c r="F116" s="1054"/>
      <c r="G116" s="1054"/>
      <c r="H116" s="1054"/>
      <c r="I116" s="4023" t="s">
        <v>164</v>
      </c>
      <c r="J116" s="4024"/>
      <c r="K116" s="1965">
        <f>K98+K106</f>
        <v>24.173000000000002</v>
      </c>
      <c r="L116" s="1966"/>
      <c r="M116" s="1967">
        <f>M98+M106</f>
        <v>23.47293333333333</v>
      </c>
      <c r="N116" s="1968"/>
      <c r="O116" s="1965">
        <f>O98+O106</f>
        <v>22.671466666666667</v>
      </c>
      <c r="P116" s="1969"/>
      <c r="Q116" s="983"/>
      <c r="R116" s="1052"/>
      <c r="S116" s="1052"/>
      <c r="T116" s="740"/>
      <c r="U116" s="740"/>
      <c r="V116" s="740"/>
      <c r="W116" s="740"/>
      <c r="X116" s="740"/>
      <c r="Y116" s="740"/>
      <c r="Z116" s="740"/>
      <c r="AA116" s="740"/>
      <c r="AB116" s="740"/>
      <c r="AC116" s="740"/>
      <c r="AD116" s="740"/>
      <c r="AE116" s="740"/>
      <c r="AF116" s="740"/>
      <c r="AG116" s="740"/>
      <c r="AH116" s="740"/>
      <c r="AI116" s="740"/>
      <c r="AJ116" s="740"/>
      <c r="AK116" s="740"/>
      <c r="AL116" s="740"/>
      <c r="AM116" s="740"/>
      <c r="AN116" s="740"/>
      <c r="AO116" s="740"/>
      <c r="AP116" s="740"/>
      <c r="AQ116" s="740"/>
      <c r="AR116" s="740"/>
      <c r="AS116" s="740"/>
      <c r="AT116" s="740"/>
      <c r="AU116" s="740"/>
      <c r="AV116" s="740"/>
      <c r="AW116" s="740"/>
      <c r="AX116" s="740"/>
      <c r="AY116" s="740"/>
      <c r="AZ116" s="740"/>
      <c r="BA116" s="740"/>
      <c r="BB116" s="740"/>
      <c r="BC116" s="740"/>
      <c r="BD116" s="740"/>
      <c r="BE116" s="740"/>
      <c r="BF116" s="740"/>
      <c r="BG116" s="740"/>
      <c r="BH116" s="740"/>
      <c r="BI116" s="740"/>
      <c r="BJ116" s="740"/>
      <c r="BK116" s="740"/>
      <c r="BL116" s="740"/>
      <c r="BM116" s="740"/>
      <c r="BN116" s="740"/>
      <c r="BO116" s="740"/>
      <c r="BP116" s="740"/>
      <c r="BQ116" s="740"/>
      <c r="BR116" s="740"/>
      <c r="BS116" s="740"/>
      <c r="BT116" s="740"/>
      <c r="BU116" s="740"/>
      <c r="BV116" s="740"/>
      <c r="BW116" s="740"/>
      <c r="BX116" s="740"/>
      <c r="BY116" s="740"/>
      <c r="BZ116" s="740"/>
      <c r="CA116" s="740"/>
      <c r="CB116" s="740"/>
      <c r="CC116" s="740"/>
      <c r="CD116" s="740"/>
      <c r="CE116" s="740"/>
      <c r="CF116" s="740"/>
      <c r="CG116" s="740"/>
      <c r="CH116" s="740"/>
      <c r="CI116" s="740"/>
      <c r="CJ116" s="740"/>
      <c r="CK116" s="740"/>
      <c r="CL116" s="740"/>
      <c r="CM116" s="740"/>
      <c r="CN116" s="740"/>
      <c r="CO116" s="740"/>
      <c r="CP116" s="740"/>
      <c r="CQ116" s="740"/>
      <c r="CR116" s="740"/>
      <c r="CS116" s="740"/>
      <c r="CT116" s="740"/>
      <c r="CU116" s="740"/>
      <c r="CV116" s="740"/>
      <c r="CW116" s="740"/>
      <c r="CX116" s="740"/>
      <c r="CY116" s="740"/>
      <c r="CZ116" s="740"/>
      <c r="DA116" s="740"/>
      <c r="DB116" s="740"/>
      <c r="DC116" s="740"/>
      <c r="DD116" s="740"/>
      <c r="DE116" s="740"/>
      <c r="DF116" s="740"/>
      <c r="DG116" s="740"/>
      <c r="DH116" s="740"/>
      <c r="DI116" s="740"/>
      <c r="DJ116" s="740"/>
      <c r="DK116" s="740"/>
      <c r="DL116" s="740"/>
      <c r="DM116" s="740"/>
      <c r="DN116" s="740"/>
      <c r="DO116" s="740"/>
      <c r="DP116" s="740"/>
      <c r="DQ116" s="740"/>
      <c r="DR116" s="740"/>
      <c r="DS116" s="740"/>
      <c r="DT116" s="740"/>
      <c r="DU116" s="740"/>
      <c r="DV116" s="740"/>
      <c r="DW116" s="740"/>
      <c r="DX116" s="740"/>
      <c r="DY116" s="740"/>
      <c r="DZ116" s="740"/>
      <c r="EA116" s="740"/>
      <c r="EB116" s="740"/>
      <c r="EC116" s="740"/>
      <c r="ED116" s="740"/>
      <c r="EE116" s="740"/>
      <c r="EF116" s="740"/>
      <c r="EG116" s="740"/>
      <c r="EH116" s="740"/>
      <c r="EI116" s="740"/>
      <c r="EJ116" s="740"/>
      <c r="EK116" s="740"/>
      <c r="EL116" s="740"/>
      <c r="EM116" s="740"/>
      <c r="EN116" s="740"/>
      <c r="EO116" s="740"/>
      <c r="EP116" s="740"/>
      <c r="EQ116" s="740"/>
      <c r="ER116" s="740"/>
      <c r="ES116" s="740"/>
      <c r="ET116" s="740"/>
      <c r="EU116" s="740"/>
      <c r="EV116" s="740"/>
      <c r="EW116" s="740"/>
      <c r="EX116" s="740"/>
      <c r="EY116" s="740"/>
      <c r="EZ116" s="740"/>
      <c r="FA116" s="740"/>
      <c r="FB116" s="740"/>
      <c r="FC116" s="740"/>
      <c r="FD116" s="740"/>
      <c r="FE116" s="740"/>
      <c r="FF116" s="740"/>
      <c r="FG116" s="740"/>
      <c r="FH116" s="740"/>
      <c r="FI116" s="740"/>
      <c r="FJ116" s="740"/>
      <c r="FK116" s="740"/>
      <c r="FL116" s="740"/>
      <c r="FM116" s="740"/>
      <c r="FN116" s="740"/>
      <c r="FO116" s="740"/>
      <c r="FP116" s="740"/>
      <c r="FQ116" s="740"/>
      <c r="FR116" s="740"/>
      <c r="FS116" s="740"/>
      <c r="FT116" s="740"/>
      <c r="FU116" s="740"/>
      <c r="FV116" s="740"/>
      <c r="FW116" s="740"/>
      <c r="FX116" s="740"/>
      <c r="FY116" s="740"/>
      <c r="FZ116" s="740"/>
      <c r="GA116" s="740"/>
      <c r="GB116" s="740"/>
      <c r="GC116" s="740"/>
      <c r="GD116" s="740"/>
      <c r="GE116" s="740"/>
      <c r="GF116" s="740"/>
      <c r="GG116" s="740"/>
      <c r="GH116" s="740"/>
      <c r="GI116" s="740"/>
      <c r="GJ116" s="740"/>
      <c r="GK116" s="740"/>
      <c r="GL116" s="740"/>
      <c r="GM116" s="740"/>
      <c r="GN116" s="740"/>
      <c r="GO116" s="740"/>
      <c r="GP116" s="740"/>
      <c r="GQ116" s="740"/>
      <c r="GR116" s="740"/>
      <c r="GS116" s="740"/>
      <c r="GT116" s="740"/>
      <c r="GU116" s="740"/>
      <c r="GV116" s="740"/>
      <c r="GW116" s="740"/>
    </row>
    <row r="117" spans="1:205" ht="24" customHeight="1" x14ac:dyDescent="0.2">
      <c r="A117" s="2503"/>
      <c r="D117" s="982"/>
      <c r="E117" s="982"/>
      <c r="F117" s="1054"/>
      <c r="G117" s="1054"/>
      <c r="H117" s="1054"/>
      <c r="I117" s="1054"/>
      <c r="J117" s="1054"/>
      <c r="K117" s="983"/>
      <c r="L117" s="982"/>
      <c r="M117" s="983"/>
      <c r="N117" s="982"/>
      <c r="O117" s="983"/>
      <c r="P117" s="982"/>
      <c r="Q117" s="983"/>
      <c r="R117" s="1052"/>
      <c r="S117" s="1052"/>
      <c r="T117" s="740"/>
      <c r="U117" s="740"/>
      <c r="V117" s="740"/>
      <c r="W117" s="740"/>
      <c r="X117" s="740"/>
      <c r="Y117" s="740"/>
      <c r="Z117" s="740"/>
      <c r="AA117" s="740"/>
      <c r="AB117" s="740"/>
      <c r="AC117" s="740"/>
      <c r="AD117" s="740"/>
      <c r="AE117" s="740"/>
      <c r="AF117" s="740"/>
      <c r="AG117" s="740"/>
      <c r="AH117" s="740"/>
      <c r="AI117" s="740"/>
      <c r="AJ117" s="740"/>
      <c r="AK117" s="740"/>
      <c r="AL117" s="740"/>
      <c r="AM117" s="740"/>
      <c r="AN117" s="740"/>
      <c r="AO117" s="740"/>
      <c r="AP117" s="740"/>
      <c r="AQ117" s="740"/>
      <c r="AR117" s="740"/>
      <c r="AS117" s="740"/>
      <c r="AT117" s="740"/>
      <c r="AU117" s="740"/>
      <c r="AV117" s="740"/>
      <c r="AW117" s="740"/>
      <c r="AX117" s="740"/>
      <c r="AY117" s="740"/>
      <c r="AZ117" s="740"/>
      <c r="BA117" s="740"/>
      <c r="BB117" s="740"/>
      <c r="BC117" s="740"/>
      <c r="BD117" s="740"/>
      <c r="BE117" s="740"/>
      <c r="BF117" s="740"/>
      <c r="BG117" s="740"/>
      <c r="BH117" s="740"/>
      <c r="BI117" s="740"/>
      <c r="BJ117" s="740"/>
      <c r="BK117" s="740"/>
      <c r="BL117" s="740"/>
      <c r="BM117" s="740"/>
      <c r="BN117" s="740"/>
      <c r="BO117" s="740"/>
      <c r="BP117" s="740"/>
      <c r="BQ117" s="740"/>
      <c r="BR117" s="740"/>
      <c r="BS117" s="740"/>
      <c r="BT117" s="740"/>
      <c r="BU117" s="740"/>
      <c r="BV117" s="740"/>
      <c r="BW117" s="740"/>
      <c r="BX117" s="740"/>
      <c r="BY117" s="740"/>
      <c r="BZ117" s="740"/>
      <c r="CA117" s="740"/>
      <c r="CB117" s="740"/>
      <c r="CC117" s="740"/>
      <c r="CD117" s="740"/>
      <c r="CE117" s="740"/>
      <c r="CF117" s="740"/>
      <c r="CG117" s="740"/>
      <c r="CH117" s="740"/>
      <c r="CI117" s="740"/>
      <c r="CJ117" s="740"/>
      <c r="CK117" s="740"/>
      <c r="CL117" s="740"/>
      <c r="CM117" s="740"/>
      <c r="CN117" s="740"/>
      <c r="CO117" s="740"/>
      <c r="CP117" s="740"/>
      <c r="CQ117" s="740"/>
      <c r="CR117" s="740"/>
      <c r="CS117" s="740"/>
      <c r="CT117" s="740"/>
      <c r="CU117" s="740"/>
      <c r="CV117" s="740"/>
      <c r="CW117" s="740"/>
      <c r="CX117" s="740"/>
      <c r="CY117" s="740"/>
      <c r="CZ117" s="740"/>
      <c r="DA117" s="740"/>
      <c r="DB117" s="740"/>
      <c r="DC117" s="740"/>
      <c r="DD117" s="740"/>
      <c r="DE117" s="740"/>
      <c r="DF117" s="740"/>
      <c r="DG117" s="740"/>
      <c r="DH117" s="740"/>
      <c r="DI117" s="740"/>
      <c r="DJ117" s="740"/>
      <c r="DK117" s="740"/>
      <c r="DL117" s="740"/>
      <c r="DM117" s="740"/>
      <c r="DN117" s="740"/>
      <c r="DO117" s="740"/>
      <c r="DP117" s="740"/>
      <c r="DQ117" s="740"/>
      <c r="DR117" s="740"/>
      <c r="DS117" s="740"/>
      <c r="DT117" s="740"/>
      <c r="DU117" s="740"/>
      <c r="DV117" s="740"/>
      <c r="DW117" s="740"/>
      <c r="DX117" s="740"/>
      <c r="DY117" s="740"/>
      <c r="DZ117" s="740"/>
      <c r="EA117" s="740"/>
      <c r="EB117" s="740"/>
      <c r="EC117" s="740"/>
      <c r="ED117" s="740"/>
      <c r="EE117" s="740"/>
      <c r="EF117" s="740"/>
      <c r="EG117" s="740"/>
      <c r="EH117" s="740"/>
      <c r="EI117" s="740"/>
      <c r="EJ117" s="740"/>
      <c r="EK117" s="740"/>
      <c r="EL117" s="740"/>
      <c r="EM117" s="740"/>
      <c r="EN117" s="740"/>
      <c r="EO117" s="740"/>
      <c r="EP117" s="740"/>
      <c r="EQ117" s="740"/>
      <c r="ER117" s="740"/>
      <c r="ES117" s="740"/>
      <c r="ET117" s="740"/>
      <c r="EU117" s="740"/>
      <c r="EV117" s="740"/>
      <c r="EW117" s="740"/>
      <c r="EX117" s="740"/>
      <c r="EY117" s="740"/>
      <c r="EZ117" s="740"/>
      <c r="FA117" s="740"/>
      <c r="FB117" s="740"/>
      <c r="FC117" s="740"/>
      <c r="FD117" s="740"/>
      <c r="FE117" s="740"/>
      <c r="FF117" s="740"/>
      <c r="FG117" s="740"/>
      <c r="FH117" s="740"/>
      <c r="FI117" s="740"/>
      <c r="FJ117" s="740"/>
      <c r="FK117" s="740"/>
      <c r="FL117" s="740"/>
      <c r="FM117" s="740"/>
      <c r="FN117" s="740"/>
      <c r="FO117" s="740"/>
      <c r="FP117" s="740"/>
      <c r="FQ117" s="740"/>
      <c r="FR117" s="740"/>
      <c r="FS117" s="740"/>
      <c r="FT117" s="740"/>
      <c r="FU117" s="740"/>
      <c r="FV117" s="740"/>
      <c r="FW117" s="740"/>
      <c r="FX117" s="740"/>
      <c r="FY117" s="740"/>
      <c r="FZ117" s="740"/>
      <c r="GA117" s="740"/>
      <c r="GB117" s="740"/>
      <c r="GC117" s="740"/>
      <c r="GD117" s="740"/>
      <c r="GE117" s="740"/>
      <c r="GF117" s="740"/>
      <c r="GG117" s="740"/>
      <c r="GH117" s="740"/>
      <c r="GI117" s="740"/>
      <c r="GJ117" s="740"/>
      <c r="GK117" s="740"/>
      <c r="GL117" s="740"/>
      <c r="GM117" s="740"/>
      <c r="GN117" s="740"/>
      <c r="GO117" s="740"/>
      <c r="GP117" s="740"/>
      <c r="GQ117" s="740"/>
      <c r="GR117" s="740"/>
      <c r="GS117" s="740"/>
      <c r="GT117" s="740"/>
      <c r="GU117" s="740"/>
      <c r="GV117" s="740"/>
      <c r="GW117" s="740"/>
    </row>
    <row r="118" spans="1:205" ht="24" customHeight="1" x14ac:dyDescent="0.2">
      <c r="A118" s="2503"/>
      <c r="D118" s="982"/>
      <c r="E118" s="982"/>
      <c r="F118" s="1054"/>
      <c r="G118" s="1054"/>
      <c r="H118" s="1054"/>
      <c r="I118" s="1054"/>
      <c r="J118" s="1054"/>
      <c r="K118" s="983"/>
      <c r="L118" s="982"/>
      <c r="M118" s="983"/>
      <c r="N118" s="982"/>
      <c r="O118" s="983"/>
      <c r="P118" s="982"/>
      <c r="Q118" s="983"/>
      <c r="R118" s="1052"/>
      <c r="S118" s="1052"/>
      <c r="T118" s="740"/>
      <c r="U118" s="740"/>
      <c r="V118" s="740"/>
      <c r="W118" s="740"/>
      <c r="X118" s="740"/>
      <c r="Y118" s="740"/>
      <c r="Z118" s="740"/>
      <c r="AA118" s="740"/>
      <c r="AB118" s="740"/>
      <c r="AC118" s="740"/>
      <c r="AD118" s="740"/>
      <c r="AE118" s="740"/>
      <c r="AF118" s="740"/>
      <c r="AG118" s="740"/>
      <c r="AH118" s="740"/>
      <c r="AI118" s="740"/>
      <c r="AJ118" s="740"/>
      <c r="AK118" s="740"/>
      <c r="AL118" s="740"/>
      <c r="AM118" s="740"/>
      <c r="AN118" s="740"/>
      <c r="AO118" s="740"/>
      <c r="AP118" s="740"/>
      <c r="AQ118" s="740"/>
      <c r="AR118" s="740"/>
      <c r="AS118" s="740"/>
      <c r="AT118" s="740"/>
      <c r="AU118" s="740"/>
      <c r="AV118" s="740"/>
      <c r="AW118" s="740"/>
      <c r="AX118" s="740"/>
      <c r="AY118" s="740"/>
      <c r="AZ118" s="740"/>
      <c r="BA118" s="740"/>
      <c r="BB118" s="740"/>
      <c r="BC118" s="740"/>
      <c r="BD118" s="740"/>
      <c r="BE118" s="740"/>
      <c r="BF118" s="740"/>
      <c r="BG118" s="740"/>
      <c r="BH118" s="740"/>
      <c r="BI118" s="740"/>
      <c r="BJ118" s="740"/>
      <c r="BK118" s="740"/>
      <c r="BL118" s="740"/>
      <c r="BM118" s="740"/>
      <c r="BN118" s="740"/>
      <c r="BO118" s="740"/>
      <c r="BP118" s="740"/>
      <c r="BQ118" s="740"/>
      <c r="BR118" s="740"/>
      <c r="BS118" s="740"/>
      <c r="BT118" s="740"/>
      <c r="BU118" s="740"/>
      <c r="BV118" s="740"/>
      <c r="BW118" s="740"/>
      <c r="BX118" s="740"/>
      <c r="BY118" s="740"/>
      <c r="BZ118" s="740"/>
      <c r="CA118" s="740"/>
      <c r="CB118" s="740"/>
      <c r="CC118" s="740"/>
      <c r="CD118" s="740"/>
      <c r="CE118" s="740"/>
      <c r="CF118" s="740"/>
      <c r="CG118" s="740"/>
      <c r="CH118" s="740"/>
      <c r="CI118" s="740"/>
      <c r="CJ118" s="740"/>
      <c r="CK118" s="740"/>
      <c r="CL118" s="740"/>
      <c r="CM118" s="740"/>
      <c r="CN118" s="740"/>
      <c r="CO118" s="740"/>
      <c r="CP118" s="740"/>
      <c r="CQ118" s="740"/>
      <c r="CR118" s="740"/>
      <c r="CS118" s="740"/>
      <c r="CT118" s="740"/>
      <c r="CU118" s="740"/>
      <c r="CV118" s="740"/>
      <c r="CW118" s="740"/>
      <c r="CX118" s="740"/>
      <c r="CY118" s="740"/>
      <c r="CZ118" s="740"/>
      <c r="DA118" s="740"/>
      <c r="DB118" s="740"/>
      <c r="DC118" s="740"/>
      <c r="DD118" s="740"/>
      <c r="DE118" s="740"/>
      <c r="DF118" s="740"/>
      <c r="DG118" s="740"/>
      <c r="DH118" s="740"/>
      <c r="DI118" s="740"/>
      <c r="DJ118" s="740"/>
      <c r="DK118" s="740"/>
      <c r="DL118" s="740"/>
      <c r="DM118" s="740"/>
      <c r="DN118" s="740"/>
      <c r="DO118" s="740"/>
      <c r="DP118" s="740"/>
      <c r="DQ118" s="740"/>
      <c r="DR118" s="740"/>
      <c r="DS118" s="740"/>
      <c r="DT118" s="740"/>
      <c r="DU118" s="740"/>
      <c r="DV118" s="740"/>
      <c r="DW118" s="740"/>
      <c r="DX118" s="740"/>
      <c r="DY118" s="740"/>
      <c r="DZ118" s="740"/>
      <c r="EA118" s="740"/>
      <c r="EB118" s="740"/>
      <c r="EC118" s="740"/>
      <c r="ED118" s="740"/>
      <c r="EE118" s="740"/>
      <c r="EF118" s="740"/>
      <c r="EG118" s="740"/>
      <c r="EH118" s="740"/>
      <c r="EI118" s="740"/>
      <c r="EJ118" s="740"/>
      <c r="EK118" s="740"/>
      <c r="EL118" s="740"/>
      <c r="EM118" s="740"/>
      <c r="EN118" s="740"/>
      <c r="EO118" s="740"/>
      <c r="EP118" s="740"/>
      <c r="EQ118" s="740"/>
      <c r="ER118" s="740"/>
      <c r="ES118" s="740"/>
      <c r="ET118" s="740"/>
      <c r="EU118" s="740"/>
      <c r="EV118" s="740"/>
      <c r="EW118" s="740"/>
      <c r="EX118" s="740"/>
      <c r="EY118" s="740"/>
      <c r="EZ118" s="740"/>
      <c r="FA118" s="740"/>
      <c r="FB118" s="740"/>
      <c r="FC118" s="740"/>
      <c r="FD118" s="740"/>
      <c r="FE118" s="740"/>
      <c r="FF118" s="740"/>
      <c r="FG118" s="740"/>
      <c r="FH118" s="740"/>
      <c r="FI118" s="740"/>
      <c r="FJ118" s="740"/>
      <c r="FK118" s="740"/>
      <c r="FL118" s="740"/>
      <c r="FM118" s="740"/>
      <c r="FN118" s="740"/>
      <c r="FO118" s="740"/>
      <c r="FP118" s="740"/>
      <c r="FQ118" s="740"/>
      <c r="FR118" s="740"/>
      <c r="FS118" s="740"/>
      <c r="FT118" s="740"/>
      <c r="FU118" s="740"/>
      <c r="FV118" s="740"/>
      <c r="FW118" s="740"/>
      <c r="FX118" s="740"/>
      <c r="FY118" s="740"/>
      <c r="FZ118" s="740"/>
      <c r="GA118" s="740"/>
      <c r="GB118" s="740"/>
      <c r="GC118" s="740"/>
      <c r="GD118" s="740"/>
      <c r="GE118" s="740"/>
      <c r="GF118" s="740"/>
      <c r="GG118" s="740"/>
      <c r="GH118" s="740"/>
      <c r="GI118" s="740"/>
      <c r="GJ118" s="740"/>
      <c r="GK118" s="740"/>
      <c r="GL118" s="740"/>
      <c r="GM118" s="740"/>
      <c r="GN118" s="740"/>
      <c r="GO118" s="740"/>
      <c r="GP118" s="740"/>
      <c r="GQ118" s="740"/>
      <c r="GR118" s="740"/>
      <c r="GS118" s="740"/>
      <c r="GT118" s="740"/>
      <c r="GU118" s="740"/>
      <c r="GV118" s="740"/>
      <c r="GW118" s="740"/>
    </row>
    <row r="119" spans="1:205" ht="24" customHeight="1" x14ac:dyDescent="0.2">
      <c r="A119" s="2503"/>
      <c r="D119" s="982"/>
      <c r="E119" s="982"/>
      <c r="F119" s="1054"/>
      <c r="G119" s="1054"/>
      <c r="H119" s="1054"/>
      <c r="I119" s="1054"/>
      <c r="J119" s="1054"/>
      <c r="K119" s="983"/>
      <c r="L119" s="982"/>
      <c r="M119" s="983"/>
      <c r="N119" s="982"/>
      <c r="O119" s="983"/>
      <c r="P119" s="982"/>
      <c r="Q119" s="983"/>
      <c r="R119" s="1052"/>
      <c r="S119" s="1052"/>
      <c r="T119" s="740"/>
      <c r="U119" s="740"/>
      <c r="V119" s="740"/>
      <c r="W119" s="740"/>
      <c r="X119" s="740"/>
      <c r="Y119" s="740"/>
      <c r="Z119" s="740"/>
      <c r="AA119" s="740"/>
      <c r="AB119" s="740"/>
      <c r="AC119" s="740"/>
      <c r="AD119" s="740"/>
      <c r="AE119" s="740"/>
      <c r="AF119" s="740"/>
      <c r="AG119" s="740"/>
      <c r="AH119" s="740"/>
      <c r="AI119" s="740"/>
      <c r="AJ119" s="740"/>
      <c r="AK119" s="740"/>
      <c r="AL119" s="740"/>
      <c r="AM119" s="740"/>
      <c r="AN119" s="740"/>
      <c r="AO119" s="740"/>
      <c r="AP119" s="740"/>
      <c r="AQ119" s="740"/>
      <c r="AR119" s="740"/>
      <c r="AS119" s="740"/>
      <c r="AT119" s="740"/>
      <c r="AU119" s="740"/>
      <c r="AV119" s="740"/>
      <c r="AW119" s="740"/>
      <c r="AX119" s="740"/>
      <c r="AY119" s="740"/>
      <c r="AZ119" s="740"/>
      <c r="BA119" s="740"/>
      <c r="BB119" s="740"/>
      <c r="BC119" s="740"/>
      <c r="BD119" s="740"/>
      <c r="BE119" s="740"/>
      <c r="BF119" s="740"/>
      <c r="BG119" s="740"/>
      <c r="BH119" s="740"/>
      <c r="BI119" s="740"/>
      <c r="BJ119" s="740"/>
      <c r="BK119" s="740"/>
      <c r="BL119" s="740"/>
      <c r="BM119" s="740"/>
      <c r="BN119" s="740"/>
      <c r="BO119" s="740"/>
      <c r="BP119" s="740"/>
      <c r="BQ119" s="740"/>
      <c r="BR119" s="740"/>
      <c r="BS119" s="740"/>
      <c r="BT119" s="740"/>
      <c r="BU119" s="740"/>
      <c r="BV119" s="740"/>
      <c r="BW119" s="740"/>
      <c r="BX119" s="740"/>
      <c r="BY119" s="740"/>
      <c r="BZ119" s="740"/>
      <c r="CA119" s="740"/>
      <c r="CB119" s="740"/>
      <c r="CC119" s="740"/>
      <c r="CD119" s="740"/>
      <c r="CE119" s="740"/>
      <c r="CF119" s="740"/>
      <c r="CG119" s="740"/>
      <c r="CH119" s="740"/>
      <c r="CI119" s="740"/>
      <c r="CJ119" s="740"/>
      <c r="CK119" s="740"/>
      <c r="CL119" s="740"/>
      <c r="CM119" s="740"/>
      <c r="CN119" s="740"/>
      <c r="CO119" s="740"/>
      <c r="CP119" s="740"/>
      <c r="CQ119" s="740"/>
      <c r="CR119" s="740"/>
      <c r="CS119" s="740"/>
      <c r="CT119" s="740"/>
      <c r="CU119" s="740"/>
      <c r="CV119" s="740"/>
      <c r="CW119" s="740"/>
      <c r="CX119" s="740"/>
      <c r="CY119" s="740"/>
      <c r="CZ119" s="740"/>
      <c r="DA119" s="740"/>
      <c r="DB119" s="740"/>
      <c r="DC119" s="740"/>
      <c r="DD119" s="740"/>
      <c r="DE119" s="740"/>
      <c r="DF119" s="740"/>
      <c r="DG119" s="740"/>
      <c r="DH119" s="740"/>
      <c r="DI119" s="740"/>
      <c r="DJ119" s="740"/>
      <c r="DK119" s="740"/>
      <c r="DL119" s="740"/>
      <c r="DM119" s="740"/>
      <c r="DN119" s="740"/>
      <c r="DO119" s="740"/>
      <c r="DP119" s="740"/>
      <c r="DQ119" s="740"/>
      <c r="DR119" s="740"/>
      <c r="DS119" s="740"/>
      <c r="DT119" s="740"/>
      <c r="DU119" s="740"/>
      <c r="DV119" s="740"/>
      <c r="DW119" s="740"/>
      <c r="DX119" s="740"/>
      <c r="DY119" s="740"/>
      <c r="DZ119" s="740"/>
      <c r="EA119" s="740"/>
      <c r="EB119" s="740"/>
      <c r="EC119" s="740"/>
      <c r="ED119" s="740"/>
      <c r="EE119" s="740"/>
      <c r="EF119" s="740"/>
      <c r="EG119" s="740"/>
      <c r="EH119" s="740"/>
      <c r="EI119" s="740"/>
      <c r="EJ119" s="740"/>
      <c r="EK119" s="740"/>
      <c r="EL119" s="740"/>
      <c r="EM119" s="740"/>
      <c r="EN119" s="740"/>
      <c r="EO119" s="740"/>
      <c r="EP119" s="740"/>
      <c r="EQ119" s="740"/>
      <c r="ER119" s="740"/>
      <c r="ES119" s="740"/>
      <c r="ET119" s="740"/>
      <c r="EU119" s="740"/>
      <c r="EV119" s="740"/>
      <c r="EW119" s="740"/>
      <c r="EX119" s="740"/>
      <c r="EY119" s="740"/>
      <c r="EZ119" s="740"/>
      <c r="FA119" s="740"/>
      <c r="FB119" s="740"/>
      <c r="FC119" s="740"/>
      <c r="FD119" s="740"/>
      <c r="FE119" s="740"/>
      <c r="FF119" s="740"/>
      <c r="FG119" s="740"/>
      <c r="FH119" s="740"/>
      <c r="FI119" s="740"/>
      <c r="FJ119" s="740"/>
      <c r="FK119" s="740"/>
      <c r="FL119" s="740"/>
      <c r="FM119" s="740"/>
      <c r="FN119" s="740"/>
      <c r="FO119" s="740"/>
      <c r="FP119" s="740"/>
      <c r="FQ119" s="740"/>
      <c r="FR119" s="740"/>
      <c r="FS119" s="740"/>
      <c r="FT119" s="740"/>
      <c r="FU119" s="740"/>
      <c r="FV119" s="740"/>
      <c r="FW119" s="740"/>
      <c r="FX119" s="740"/>
      <c r="FY119" s="740"/>
      <c r="FZ119" s="740"/>
      <c r="GA119" s="740"/>
      <c r="GB119" s="740"/>
      <c r="GC119" s="740"/>
      <c r="GD119" s="740"/>
      <c r="GE119" s="740"/>
      <c r="GF119" s="740"/>
      <c r="GG119" s="740"/>
      <c r="GH119" s="740"/>
      <c r="GI119" s="740"/>
      <c r="GJ119" s="740"/>
      <c r="GK119" s="740"/>
      <c r="GL119" s="740"/>
      <c r="GM119" s="740"/>
      <c r="GN119" s="740"/>
      <c r="GO119" s="740"/>
      <c r="GP119" s="740"/>
      <c r="GQ119" s="740"/>
      <c r="GR119" s="740"/>
      <c r="GS119" s="740"/>
      <c r="GT119" s="740"/>
      <c r="GU119" s="740"/>
      <c r="GV119" s="740"/>
      <c r="GW119" s="740"/>
    </row>
    <row r="120" spans="1:205" ht="24" customHeight="1" x14ac:dyDescent="0.2">
      <c r="A120" s="2503"/>
      <c r="D120" s="982"/>
      <c r="E120" s="982"/>
      <c r="F120" s="1054"/>
      <c r="G120" s="1054"/>
      <c r="H120" s="1054"/>
      <c r="I120" s="1054"/>
      <c r="J120" s="1054"/>
      <c r="K120" s="983"/>
      <c r="L120" s="982"/>
      <c r="M120" s="983"/>
      <c r="N120" s="982"/>
      <c r="O120" s="983"/>
      <c r="P120" s="982"/>
      <c r="Q120" s="983"/>
      <c r="R120" s="1052"/>
      <c r="S120" s="1052"/>
      <c r="T120" s="740"/>
      <c r="U120" s="740"/>
      <c r="V120" s="740"/>
      <c r="W120" s="740"/>
      <c r="X120" s="740"/>
      <c r="Y120" s="740"/>
      <c r="Z120" s="740"/>
      <c r="AA120" s="740"/>
      <c r="AB120" s="740"/>
      <c r="AC120" s="740"/>
      <c r="AD120" s="740"/>
      <c r="AE120" s="740"/>
      <c r="AF120" s="740"/>
      <c r="AG120" s="740"/>
      <c r="AH120" s="740"/>
      <c r="AI120" s="740"/>
      <c r="AJ120" s="740"/>
      <c r="AK120" s="740"/>
      <c r="AL120" s="740"/>
      <c r="AM120" s="740"/>
      <c r="AN120" s="740"/>
      <c r="AO120" s="740"/>
      <c r="AP120" s="740"/>
      <c r="AQ120" s="740"/>
      <c r="AR120" s="740"/>
      <c r="AS120" s="740"/>
      <c r="AT120" s="740"/>
      <c r="AU120" s="740"/>
      <c r="AV120" s="740"/>
      <c r="AW120" s="740"/>
      <c r="AX120" s="740"/>
      <c r="AY120" s="740"/>
      <c r="AZ120" s="740"/>
      <c r="BA120" s="740"/>
      <c r="BB120" s="740"/>
      <c r="BC120" s="740"/>
      <c r="BD120" s="740"/>
      <c r="BE120" s="740"/>
      <c r="BF120" s="740"/>
      <c r="BG120" s="740"/>
      <c r="BH120" s="740"/>
      <c r="BI120" s="740"/>
      <c r="BJ120" s="740"/>
      <c r="BK120" s="740"/>
      <c r="BL120" s="740"/>
      <c r="BM120" s="740"/>
      <c r="BN120" s="740"/>
      <c r="BO120" s="740"/>
      <c r="BP120" s="740"/>
      <c r="BQ120" s="740"/>
      <c r="BR120" s="740"/>
      <c r="BS120" s="740"/>
      <c r="BT120" s="740"/>
      <c r="BU120" s="740"/>
      <c r="BV120" s="740"/>
      <c r="BW120" s="740"/>
      <c r="BX120" s="740"/>
      <c r="BY120" s="740"/>
      <c r="BZ120" s="740"/>
      <c r="CA120" s="740"/>
      <c r="CB120" s="740"/>
      <c r="CC120" s="740"/>
      <c r="CD120" s="740"/>
      <c r="CE120" s="740"/>
      <c r="CF120" s="740"/>
      <c r="CG120" s="740"/>
      <c r="CH120" s="740"/>
      <c r="CI120" s="740"/>
      <c r="CJ120" s="740"/>
      <c r="CK120" s="740"/>
      <c r="CL120" s="740"/>
      <c r="CM120" s="740"/>
      <c r="CN120" s="740"/>
      <c r="CO120" s="740"/>
      <c r="CP120" s="740"/>
      <c r="CQ120" s="740"/>
      <c r="CR120" s="740"/>
      <c r="CS120" s="740"/>
      <c r="CT120" s="740"/>
      <c r="CU120" s="740"/>
      <c r="CV120" s="740"/>
      <c r="CW120" s="740"/>
      <c r="CX120" s="740"/>
      <c r="CY120" s="740"/>
      <c r="CZ120" s="740"/>
      <c r="DA120" s="740"/>
      <c r="DB120" s="740"/>
      <c r="DC120" s="740"/>
      <c r="DD120" s="740"/>
      <c r="DE120" s="740"/>
      <c r="DF120" s="740"/>
      <c r="DG120" s="740"/>
      <c r="DH120" s="740"/>
      <c r="DI120" s="740"/>
      <c r="DJ120" s="740"/>
      <c r="DK120" s="740"/>
      <c r="DL120" s="740"/>
      <c r="DM120" s="740"/>
      <c r="DN120" s="740"/>
      <c r="DO120" s="740"/>
      <c r="DP120" s="740"/>
      <c r="DQ120" s="740"/>
      <c r="DR120" s="740"/>
      <c r="DS120" s="740"/>
      <c r="DT120" s="740"/>
      <c r="DU120" s="740"/>
      <c r="DV120" s="740"/>
      <c r="DW120" s="740"/>
      <c r="DX120" s="740"/>
      <c r="DY120" s="740"/>
      <c r="DZ120" s="740"/>
      <c r="EA120" s="740"/>
      <c r="EB120" s="740"/>
      <c r="EC120" s="740"/>
      <c r="ED120" s="740"/>
      <c r="EE120" s="740"/>
      <c r="EF120" s="740"/>
      <c r="EG120" s="740"/>
      <c r="EH120" s="740"/>
      <c r="EI120" s="740"/>
      <c r="EJ120" s="740"/>
      <c r="EK120" s="740"/>
      <c r="EL120" s="740"/>
      <c r="EM120" s="740"/>
      <c r="EN120" s="740"/>
      <c r="EO120" s="740"/>
      <c r="EP120" s="740"/>
      <c r="EQ120" s="740"/>
      <c r="ER120" s="740"/>
      <c r="ES120" s="740"/>
      <c r="ET120" s="740"/>
      <c r="EU120" s="740"/>
      <c r="EV120" s="740"/>
      <c r="EW120" s="740"/>
      <c r="EX120" s="740"/>
      <c r="EY120" s="740"/>
      <c r="EZ120" s="740"/>
      <c r="FA120" s="740"/>
      <c r="FB120" s="740"/>
      <c r="FC120" s="740"/>
      <c r="FD120" s="740"/>
      <c r="FE120" s="740"/>
      <c r="FF120" s="740"/>
      <c r="FG120" s="740"/>
      <c r="FH120" s="740"/>
      <c r="FI120" s="740"/>
      <c r="FJ120" s="740"/>
      <c r="FK120" s="740"/>
      <c r="FL120" s="740"/>
      <c r="FM120" s="740"/>
      <c r="FN120" s="740"/>
      <c r="FO120" s="740"/>
      <c r="FP120" s="740"/>
      <c r="FQ120" s="740"/>
      <c r="FR120" s="740"/>
      <c r="FS120" s="740"/>
      <c r="FT120" s="740"/>
      <c r="FU120" s="740"/>
      <c r="FV120" s="740"/>
      <c r="FW120" s="740"/>
      <c r="FX120" s="740"/>
      <c r="FY120" s="740"/>
      <c r="FZ120" s="740"/>
      <c r="GA120" s="740"/>
      <c r="GB120" s="740"/>
      <c r="GC120" s="740"/>
      <c r="GD120" s="740"/>
      <c r="GE120" s="740"/>
      <c r="GF120" s="740"/>
      <c r="GG120" s="740"/>
      <c r="GH120" s="740"/>
      <c r="GI120" s="740"/>
      <c r="GJ120" s="740"/>
      <c r="GK120" s="740"/>
      <c r="GL120" s="740"/>
      <c r="GM120" s="740"/>
      <c r="GN120" s="740"/>
      <c r="GO120" s="740"/>
      <c r="GP120" s="740"/>
      <c r="GQ120" s="740"/>
      <c r="GR120" s="740"/>
      <c r="GS120" s="740"/>
      <c r="GT120" s="740"/>
      <c r="GU120" s="740"/>
      <c r="GV120" s="740"/>
      <c r="GW120" s="740"/>
    </row>
    <row r="121" spans="1:205" ht="24" customHeight="1" x14ac:dyDescent="0.2">
      <c r="A121" s="2503"/>
      <c r="D121" s="982"/>
      <c r="E121" s="982"/>
      <c r="F121" s="1054"/>
      <c r="G121" s="1054"/>
      <c r="H121" s="1054"/>
      <c r="I121" s="1054"/>
      <c r="J121" s="1054"/>
      <c r="K121" s="983"/>
      <c r="L121" s="982"/>
      <c r="M121" s="983"/>
      <c r="N121" s="982"/>
      <c r="O121" s="983"/>
      <c r="P121" s="982"/>
      <c r="Q121" s="983"/>
      <c r="R121" s="1052"/>
      <c r="S121" s="1052"/>
      <c r="T121" s="740"/>
      <c r="U121" s="740"/>
      <c r="V121" s="740"/>
      <c r="W121" s="740"/>
      <c r="X121" s="740"/>
      <c r="Y121" s="740"/>
      <c r="Z121" s="740"/>
      <c r="AA121" s="740"/>
      <c r="AB121" s="740"/>
      <c r="AC121" s="740"/>
      <c r="AD121" s="740"/>
      <c r="AE121" s="740"/>
      <c r="AF121" s="740"/>
      <c r="AG121" s="740"/>
      <c r="AH121" s="740"/>
      <c r="AI121" s="740"/>
      <c r="AJ121" s="740"/>
      <c r="AK121" s="740"/>
      <c r="AL121" s="740"/>
      <c r="AM121" s="740"/>
      <c r="AN121" s="740"/>
      <c r="AO121" s="740"/>
      <c r="AP121" s="740"/>
      <c r="AQ121" s="740"/>
      <c r="AR121" s="740"/>
      <c r="AS121" s="740"/>
      <c r="AT121" s="740"/>
      <c r="AU121" s="740"/>
      <c r="AV121" s="740"/>
      <c r="AW121" s="740"/>
      <c r="AX121" s="740"/>
      <c r="AY121" s="740"/>
      <c r="AZ121" s="740"/>
      <c r="BA121" s="740"/>
      <c r="BB121" s="740"/>
      <c r="BC121" s="740"/>
      <c r="BD121" s="740"/>
      <c r="BE121" s="740"/>
      <c r="BF121" s="740"/>
      <c r="BG121" s="740"/>
      <c r="BH121" s="740"/>
      <c r="BI121" s="740"/>
      <c r="BJ121" s="740"/>
      <c r="BK121" s="740"/>
      <c r="BL121" s="740"/>
      <c r="BM121" s="740"/>
      <c r="BN121" s="740"/>
      <c r="BO121" s="740"/>
      <c r="BP121" s="740"/>
      <c r="BQ121" s="740"/>
      <c r="BR121" s="740"/>
      <c r="BS121" s="740"/>
      <c r="BT121" s="740"/>
      <c r="BU121" s="740"/>
      <c r="BV121" s="740"/>
      <c r="BW121" s="740"/>
      <c r="BX121" s="740"/>
      <c r="BY121" s="740"/>
      <c r="BZ121" s="740"/>
      <c r="CA121" s="740"/>
      <c r="CB121" s="740"/>
      <c r="CC121" s="740"/>
      <c r="CD121" s="740"/>
      <c r="CE121" s="740"/>
      <c r="CF121" s="740"/>
      <c r="CG121" s="740"/>
      <c r="CH121" s="740"/>
      <c r="CI121" s="740"/>
      <c r="CJ121" s="740"/>
      <c r="CK121" s="740"/>
      <c r="CL121" s="740"/>
      <c r="CM121" s="740"/>
      <c r="CN121" s="740"/>
      <c r="CO121" s="740"/>
      <c r="CP121" s="740"/>
      <c r="CQ121" s="740"/>
      <c r="CR121" s="740"/>
      <c r="CS121" s="740"/>
      <c r="CT121" s="740"/>
      <c r="CU121" s="740"/>
      <c r="CV121" s="740"/>
      <c r="CW121" s="740"/>
      <c r="CX121" s="740"/>
      <c r="CY121" s="740"/>
      <c r="CZ121" s="740"/>
      <c r="DA121" s="740"/>
      <c r="DB121" s="740"/>
      <c r="DC121" s="740"/>
      <c r="DD121" s="740"/>
      <c r="DE121" s="740"/>
      <c r="DF121" s="740"/>
      <c r="DG121" s="740"/>
      <c r="DH121" s="740"/>
      <c r="DI121" s="740"/>
      <c r="DJ121" s="740"/>
      <c r="DK121" s="740"/>
      <c r="DL121" s="740"/>
      <c r="DM121" s="740"/>
      <c r="DN121" s="740"/>
      <c r="DO121" s="740"/>
      <c r="DP121" s="740"/>
      <c r="DQ121" s="740"/>
      <c r="DR121" s="740"/>
      <c r="DS121" s="740"/>
      <c r="DT121" s="740"/>
      <c r="DU121" s="740"/>
      <c r="DV121" s="740"/>
      <c r="DW121" s="740"/>
      <c r="DX121" s="740"/>
      <c r="DY121" s="740"/>
      <c r="DZ121" s="740"/>
      <c r="EA121" s="740"/>
      <c r="EB121" s="740"/>
      <c r="EC121" s="740"/>
      <c r="ED121" s="740"/>
      <c r="EE121" s="740"/>
      <c r="EF121" s="740"/>
      <c r="EG121" s="740"/>
      <c r="EH121" s="740"/>
      <c r="EI121" s="740"/>
      <c r="EJ121" s="740"/>
      <c r="EK121" s="740"/>
      <c r="EL121" s="740"/>
      <c r="EM121" s="740"/>
      <c r="EN121" s="740"/>
      <c r="EO121" s="740"/>
      <c r="EP121" s="740"/>
      <c r="EQ121" s="740"/>
      <c r="ER121" s="740"/>
      <c r="ES121" s="740"/>
      <c r="ET121" s="740"/>
      <c r="EU121" s="740"/>
      <c r="EV121" s="740"/>
      <c r="EW121" s="740"/>
      <c r="EX121" s="740"/>
      <c r="EY121" s="740"/>
      <c r="EZ121" s="740"/>
      <c r="FA121" s="740"/>
      <c r="FB121" s="740"/>
      <c r="FC121" s="740"/>
      <c r="FD121" s="740"/>
      <c r="FE121" s="740"/>
      <c r="FF121" s="740"/>
      <c r="FG121" s="740"/>
      <c r="FH121" s="740"/>
      <c r="FI121" s="740"/>
      <c r="FJ121" s="740"/>
      <c r="FK121" s="740"/>
      <c r="FL121" s="740"/>
      <c r="FM121" s="740"/>
      <c r="FN121" s="740"/>
      <c r="FO121" s="740"/>
      <c r="FP121" s="740"/>
      <c r="FQ121" s="740"/>
      <c r="FR121" s="740"/>
      <c r="FS121" s="740"/>
      <c r="FT121" s="740"/>
      <c r="FU121" s="740"/>
      <c r="FV121" s="740"/>
      <c r="FW121" s="740"/>
      <c r="FX121" s="740"/>
      <c r="FY121" s="740"/>
      <c r="FZ121" s="740"/>
      <c r="GA121" s="740"/>
      <c r="GB121" s="740"/>
      <c r="GC121" s="740"/>
      <c r="GD121" s="740"/>
      <c r="GE121" s="740"/>
      <c r="GF121" s="740"/>
      <c r="GG121" s="740"/>
      <c r="GH121" s="740"/>
      <c r="GI121" s="740"/>
      <c r="GJ121" s="740"/>
      <c r="GK121" s="740"/>
      <c r="GL121" s="740"/>
      <c r="GM121" s="740"/>
      <c r="GN121" s="740"/>
      <c r="GO121" s="740"/>
      <c r="GP121" s="740"/>
      <c r="GQ121" s="740"/>
      <c r="GR121" s="740"/>
      <c r="GS121" s="740"/>
      <c r="GT121" s="740"/>
      <c r="GU121" s="740"/>
      <c r="GV121" s="740"/>
      <c r="GW121" s="740"/>
    </row>
    <row r="122" spans="1:205" ht="24" customHeight="1" x14ac:dyDescent="0.2">
      <c r="A122" s="2503"/>
      <c r="D122" s="982"/>
      <c r="E122" s="982"/>
      <c r="F122" s="1054"/>
      <c r="G122" s="1054"/>
      <c r="H122" s="1054"/>
      <c r="I122" s="1054"/>
      <c r="J122" s="1054"/>
      <c r="K122" s="983"/>
      <c r="L122" s="982"/>
      <c r="M122" s="983"/>
      <c r="N122" s="982"/>
      <c r="O122" s="983"/>
      <c r="P122" s="982"/>
      <c r="Q122" s="983"/>
      <c r="R122" s="1052"/>
      <c r="S122" s="1052"/>
      <c r="T122" s="740"/>
      <c r="U122" s="740"/>
      <c r="V122" s="740"/>
      <c r="W122" s="740"/>
      <c r="X122" s="740"/>
      <c r="Y122" s="740"/>
      <c r="Z122" s="740"/>
      <c r="AA122" s="740"/>
      <c r="AB122" s="740"/>
      <c r="AC122" s="740"/>
      <c r="AD122" s="740"/>
      <c r="AE122" s="740"/>
      <c r="AF122" s="740"/>
      <c r="AG122" s="740"/>
      <c r="AH122" s="740"/>
      <c r="AI122" s="740"/>
      <c r="AJ122" s="740"/>
      <c r="AK122" s="740"/>
      <c r="AL122" s="740"/>
      <c r="AM122" s="740"/>
      <c r="AN122" s="740"/>
      <c r="AO122" s="740"/>
      <c r="AP122" s="740"/>
      <c r="AQ122" s="740"/>
      <c r="AR122" s="740"/>
      <c r="AS122" s="740"/>
      <c r="AT122" s="740"/>
      <c r="AU122" s="740"/>
      <c r="AV122" s="740"/>
      <c r="AW122" s="740"/>
      <c r="AX122" s="740"/>
      <c r="AY122" s="740"/>
      <c r="AZ122" s="740"/>
      <c r="BA122" s="740"/>
      <c r="BB122" s="740"/>
      <c r="BC122" s="740"/>
      <c r="BD122" s="740"/>
      <c r="BE122" s="740"/>
      <c r="BF122" s="740"/>
      <c r="BG122" s="740"/>
      <c r="BH122" s="740"/>
      <c r="BI122" s="740"/>
      <c r="BJ122" s="740"/>
      <c r="BK122" s="740"/>
      <c r="BL122" s="740"/>
      <c r="BM122" s="740"/>
      <c r="BN122" s="740"/>
      <c r="BO122" s="740"/>
      <c r="BP122" s="740"/>
      <c r="BQ122" s="740"/>
      <c r="BR122" s="740"/>
      <c r="BS122" s="740"/>
      <c r="BT122" s="740"/>
      <c r="BU122" s="740"/>
      <c r="BV122" s="740"/>
      <c r="BW122" s="740"/>
      <c r="BX122" s="740"/>
      <c r="BY122" s="740"/>
      <c r="BZ122" s="740"/>
      <c r="CA122" s="740"/>
      <c r="CB122" s="740"/>
      <c r="CC122" s="740"/>
      <c r="CD122" s="740"/>
      <c r="CE122" s="740"/>
      <c r="CF122" s="740"/>
      <c r="CG122" s="740"/>
      <c r="CH122" s="740"/>
      <c r="CI122" s="740"/>
      <c r="CJ122" s="740"/>
      <c r="CK122" s="740"/>
      <c r="CL122" s="740"/>
      <c r="CM122" s="740"/>
      <c r="CN122" s="740"/>
      <c r="CO122" s="740"/>
      <c r="CP122" s="740"/>
      <c r="CQ122" s="740"/>
      <c r="CR122" s="740"/>
      <c r="CS122" s="740"/>
      <c r="CT122" s="740"/>
      <c r="CU122" s="740"/>
      <c r="CV122" s="740"/>
      <c r="CW122" s="740"/>
      <c r="CX122" s="740"/>
      <c r="CY122" s="740"/>
      <c r="CZ122" s="740"/>
      <c r="DA122" s="740"/>
      <c r="DB122" s="740"/>
      <c r="DC122" s="740"/>
      <c r="DD122" s="740"/>
      <c r="DE122" s="740"/>
      <c r="DF122" s="740"/>
      <c r="DG122" s="740"/>
      <c r="DH122" s="740"/>
      <c r="DI122" s="740"/>
      <c r="DJ122" s="740"/>
      <c r="DK122" s="740"/>
      <c r="DL122" s="740"/>
      <c r="DM122" s="740"/>
      <c r="DN122" s="740"/>
      <c r="DO122" s="740"/>
      <c r="DP122" s="740"/>
      <c r="DQ122" s="740"/>
      <c r="DR122" s="740"/>
      <c r="DS122" s="740"/>
      <c r="DT122" s="740"/>
      <c r="DU122" s="740"/>
      <c r="DV122" s="740"/>
      <c r="DW122" s="740"/>
      <c r="DX122" s="740"/>
      <c r="DY122" s="740"/>
      <c r="DZ122" s="740"/>
      <c r="EA122" s="740"/>
      <c r="EB122" s="740"/>
      <c r="EC122" s="740"/>
      <c r="ED122" s="740"/>
      <c r="EE122" s="740"/>
      <c r="EF122" s="740"/>
      <c r="EG122" s="740"/>
      <c r="EH122" s="740"/>
      <c r="EI122" s="740"/>
      <c r="EJ122" s="740"/>
      <c r="EK122" s="740"/>
      <c r="EL122" s="740"/>
      <c r="EM122" s="740"/>
      <c r="EN122" s="740"/>
      <c r="EO122" s="740"/>
      <c r="EP122" s="740"/>
      <c r="EQ122" s="740"/>
      <c r="ER122" s="740"/>
      <c r="ES122" s="740"/>
      <c r="ET122" s="740"/>
      <c r="EU122" s="740"/>
      <c r="EV122" s="740"/>
      <c r="EW122" s="740"/>
      <c r="EX122" s="740"/>
      <c r="EY122" s="740"/>
      <c r="EZ122" s="740"/>
      <c r="FA122" s="740"/>
      <c r="FB122" s="740"/>
      <c r="FC122" s="740"/>
      <c r="FD122" s="740"/>
      <c r="FE122" s="740"/>
      <c r="FF122" s="740"/>
      <c r="FG122" s="740"/>
      <c r="FH122" s="740"/>
      <c r="FI122" s="740"/>
      <c r="FJ122" s="740"/>
      <c r="FK122" s="740"/>
      <c r="FL122" s="740"/>
      <c r="FM122" s="740"/>
      <c r="FN122" s="740"/>
      <c r="FO122" s="740"/>
      <c r="FP122" s="740"/>
      <c r="FQ122" s="740"/>
      <c r="FR122" s="740"/>
      <c r="FS122" s="740"/>
      <c r="FT122" s="740"/>
      <c r="FU122" s="740"/>
      <c r="FV122" s="740"/>
      <c r="FW122" s="740"/>
      <c r="FX122" s="740"/>
      <c r="FY122" s="740"/>
      <c r="FZ122" s="740"/>
      <c r="GA122" s="740"/>
      <c r="GB122" s="740"/>
      <c r="GC122" s="740"/>
      <c r="GD122" s="740"/>
      <c r="GE122" s="740"/>
      <c r="GF122" s="740"/>
      <c r="GG122" s="740"/>
      <c r="GH122" s="740"/>
      <c r="GI122" s="740"/>
      <c r="GJ122" s="740"/>
      <c r="GK122" s="740"/>
      <c r="GL122" s="740"/>
      <c r="GM122" s="740"/>
      <c r="GN122" s="740"/>
      <c r="GO122" s="740"/>
      <c r="GP122" s="740"/>
      <c r="GQ122" s="740"/>
      <c r="GR122" s="740"/>
      <c r="GS122" s="740"/>
      <c r="GT122" s="740"/>
      <c r="GU122" s="740"/>
      <c r="GV122" s="740"/>
      <c r="GW122" s="740"/>
    </row>
    <row r="123" spans="1:205" ht="36" customHeight="1" x14ac:dyDescent="0.2">
      <c r="A123" s="2503"/>
      <c r="D123" s="982"/>
      <c r="E123" s="2115" t="s">
        <v>374</v>
      </c>
      <c r="F123" s="1054"/>
      <c r="G123" s="1054"/>
      <c r="H123" s="1054"/>
      <c r="I123" s="1054"/>
      <c r="J123" s="1054"/>
      <c r="K123" s="983"/>
      <c r="L123" s="982"/>
      <c r="M123" s="983"/>
      <c r="N123" s="982"/>
      <c r="O123" s="983"/>
      <c r="P123" s="982"/>
      <c r="Q123" s="983"/>
      <c r="R123" s="1052"/>
      <c r="S123" s="1052"/>
      <c r="T123" s="740"/>
      <c r="U123" s="740"/>
      <c r="V123" s="740"/>
      <c r="W123" s="740"/>
      <c r="X123" s="740"/>
      <c r="Y123" s="740"/>
      <c r="Z123" s="740"/>
      <c r="AA123" s="740"/>
      <c r="AB123" s="740"/>
      <c r="AC123" s="740"/>
      <c r="AD123" s="740"/>
      <c r="AE123" s="740"/>
      <c r="AF123" s="740"/>
      <c r="AG123" s="740"/>
      <c r="AH123" s="740"/>
      <c r="AI123" s="740"/>
      <c r="AJ123" s="740"/>
      <c r="AK123" s="740"/>
      <c r="AL123" s="740"/>
      <c r="AM123" s="740"/>
      <c r="AN123" s="740"/>
      <c r="AO123" s="740"/>
      <c r="AP123" s="740"/>
      <c r="AQ123" s="740"/>
      <c r="AR123" s="740"/>
      <c r="AS123" s="740"/>
      <c r="AT123" s="740"/>
      <c r="AU123" s="740"/>
      <c r="AV123" s="740"/>
      <c r="AW123" s="740"/>
      <c r="AX123" s="740"/>
      <c r="AY123" s="740"/>
      <c r="AZ123" s="740"/>
      <c r="BA123" s="740"/>
      <c r="BB123" s="740"/>
      <c r="BC123" s="740"/>
      <c r="BD123" s="740"/>
      <c r="BE123" s="740"/>
      <c r="BF123" s="740"/>
      <c r="BG123" s="740"/>
      <c r="BH123" s="740"/>
      <c r="BI123" s="740"/>
      <c r="BJ123" s="740"/>
      <c r="BK123" s="740"/>
      <c r="BL123" s="740"/>
      <c r="BM123" s="740"/>
      <c r="BN123" s="740"/>
      <c r="BO123" s="740"/>
      <c r="BP123" s="740"/>
      <c r="BQ123" s="740"/>
      <c r="BR123" s="740"/>
      <c r="BS123" s="740"/>
      <c r="BT123" s="740"/>
      <c r="BU123" s="740"/>
      <c r="BV123" s="740"/>
      <c r="BW123" s="740"/>
      <c r="BX123" s="740"/>
      <c r="BY123" s="740"/>
      <c r="BZ123" s="740"/>
      <c r="CA123" s="740"/>
      <c r="CB123" s="740"/>
      <c r="CC123" s="740"/>
      <c r="CD123" s="740"/>
      <c r="CE123" s="740"/>
      <c r="CF123" s="740"/>
      <c r="CG123" s="740"/>
      <c r="CH123" s="740"/>
      <c r="CI123" s="740"/>
      <c r="CJ123" s="740"/>
      <c r="CK123" s="740"/>
      <c r="CL123" s="740"/>
      <c r="CM123" s="740"/>
      <c r="CN123" s="740"/>
      <c r="CO123" s="740"/>
      <c r="CP123" s="740"/>
      <c r="CQ123" s="740"/>
      <c r="CR123" s="740"/>
      <c r="CS123" s="740"/>
      <c r="CT123" s="740"/>
      <c r="CU123" s="740"/>
      <c r="CV123" s="740"/>
      <c r="CW123" s="740"/>
      <c r="CX123" s="740"/>
      <c r="CY123" s="740"/>
      <c r="CZ123" s="740"/>
      <c r="DA123" s="740"/>
      <c r="DB123" s="740"/>
      <c r="DC123" s="740"/>
      <c r="DD123" s="740"/>
      <c r="DE123" s="740"/>
      <c r="DF123" s="740"/>
      <c r="DG123" s="740"/>
      <c r="DH123" s="740"/>
      <c r="DI123" s="740"/>
      <c r="DJ123" s="740"/>
      <c r="DK123" s="740"/>
      <c r="DL123" s="740"/>
      <c r="DM123" s="740"/>
      <c r="DN123" s="740"/>
      <c r="DO123" s="740"/>
      <c r="DP123" s="740"/>
      <c r="DQ123" s="740"/>
      <c r="DR123" s="740"/>
      <c r="DS123" s="740"/>
      <c r="DT123" s="740"/>
      <c r="DU123" s="740"/>
      <c r="DV123" s="740"/>
      <c r="DW123" s="740"/>
      <c r="DX123" s="740"/>
      <c r="DY123" s="740"/>
      <c r="DZ123" s="740"/>
      <c r="EA123" s="740"/>
      <c r="EB123" s="740"/>
      <c r="EC123" s="740"/>
      <c r="ED123" s="740"/>
      <c r="EE123" s="740"/>
      <c r="EF123" s="740"/>
      <c r="EG123" s="740"/>
      <c r="EH123" s="740"/>
      <c r="EI123" s="740"/>
      <c r="EJ123" s="740"/>
      <c r="EK123" s="740"/>
      <c r="EL123" s="740"/>
      <c r="EM123" s="740"/>
      <c r="EN123" s="740"/>
      <c r="EO123" s="740"/>
      <c r="EP123" s="740"/>
      <c r="EQ123" s="740"/>
      <c r="ER123" s="740"/>
      <c r="ES123" s="740"/>
      <c r="ET123" s="740"/>
      <c r="EU123" s="740"/>
      <c r="EV123" s="740"/>
      <c r="EW123" s="740"/>
      <c r="EX123" s="740"/>
      <c r="EY123" s="740"/>
      <c r="EZ123" s="740"/>
      <c r="FA123" s="740"/>
      <c r="FB123" s="740"/>
      <c r="FC123" s="740"/>
      <c r="FD123" s="740"/>
      <c r="FE123" s="740"/>
      <c r="FF123" s="740"/>
      <c r="FG123" s="740"/>
      <c r="FH123" s="740"/>
      <c r="FI123" s="740"/>
      <c r="FJ123" s="740"/>
      <c r="FK123" s="740"/>
      <c r="FL123" s="740"/>
      <c r="FM123" s="740"/>
      <c r="FN123" s="740"/>
      <c r="FO123" s="740"/>
      <c r="FP123" s="740"/>
      <c r="FQ123" s="740"/>
      <c r="FR123" s="740"/>
      <c r="FS123" s="740"/>
      <c r="FT123" s="740"/>
      <c r="FU123" s="740"/>
      <c r="FV123" s="740"/>
      <c r="FW123" s="740"/>
      <c r="FX123" s="740"/>
      <c r="FY123" s="740"/>
      <c r="FZ123" s="740"/>
      <c r="GA123" s="740"/>
      <c r="GB123" s="740"/>
      <c r="GC123" s="740"/>
      <c r="GD123" s="740"/>
      <c r="GE123" s="740"/>
      <c r="GF123" s="740"/>
      <c r="GG123" s="740"/>
      <c r="GH123" s="740"/>
      <c r="GI123" s="740"/>
      <c r="GJ123" s="740"/>
      <c r="GK123" s="740"/>
      <c r="GL123" s="740"/>
      <c r="GM123" s="740"/>
      <c r="GN123" s="740"/>
      <c r="GO123" s="740"/>
      <c r="GP123" s="740"/>
      <c r="GQ123" s="740"/>
      <c r="GR123" s="740"/>
      <c r="GS123" s="740"/>
      <c r="GT123" s="740"/>
      <c r="GU123" s="740"/>
      <c r="GV123" s="740"/>
      <c r="GW123" s="740"/>
    </row>
    <row r="124" spans="1:205" ht="24" customHeight="1" x14ac:dyDescent="0.2">
      <c r="A124" s="2503"/>
      <c r="D124" s="982"/>
      <c r="E124" s="982"/>
      <c r="F124" s="1054"/>
      <c r="G124" s="1054"/>
      <c r="H124" s="1054"/>
      <c r="I124" s="1054"/>
      <c r="J124" s="1054"/>
      <c r="K124" s="983"/>
      <c r="L124" s="982"/>
      <c r="M124" s="983"/>
      <c r="N124" s="982"/>
      <c r="O124" s="983"/>
      <c r="P124" s="982"/>
      <c r="Q124" s="983"/>
      <c r="R124" s="1052"/>
      <c r="S124" s="1052"/>
      <c r="T124" s="740"/>
      <c r="U124" s="740"/>
      <c r="V124" s="740"/>
      <c r="W124" s="740"/>
      <c r="X124" s="740"/>
      <c r="Y124" s="740"/>
      <c r="Z124" s="740"/>
      <c r="AA124" s="740"/>
      <c r="AB124" s="740"/>
      <c r="AC124" s="740"/>
      <c r="AD124" s="740"/>
      <c r="AE124" s="740"/>
      <c r="AF124" s="740"/>
      <c r="AG124" s="740"/>
      <c r="AH124" s="740"/>
      <c r="AI124" s="740"/>
      <c r="AJ124" s="740"/>
      <c r="AK124" s="740"/>
      <c r="AL124" s="740"/>
      <c r="AM124" s="740"/>
      <c r="AN124" s="740"/>
      <c r="AO124" s="740"/>
      <c r="AP124" s="740"/>
      <c r="AQ124" s="740"/>
      <c r="AR124" s="740"/>
      <c r="AS124" s="740"/>
      <c r="AT124" s="740"/>
      <c r="AU124" s="740"/>
      <c r="AV124" s="740"/>
      <c r="AW124" s="740"/>
      <c r="AX124" s="740"/>
      <c r="AY124" s="740"/>
      <c r="AZ124" s="740"/>
      <c r="BA124" s="740"/>
      <c r="BB124" s="740"/>
      <c r="BC124" s="740"/>
      <c r="BD124" s="740"/>
      <c r="BE124" s="740"/>
      <c r="BF124" s="740"/>
      <c r="BG124" s="740"/>
      <c r="BH124" s="740"/>
      <c r="BI124" s="740"/>
      <c r="BJ124" s="740"/>
      <c r="BK124" s="740"/>
      <c r="BL124" s="740"/>
      <c r="BM124" s="740"/>
      <c r="BN124" s="740"/>
      <c r="BO124" s="740"/>
      <c r="BP124" s="740"/>
      <c r="BQ124" s="740"/>
      <c r="BR124" s="740"/>
      <c r="BS124" s="740"/>
      <c r="BT124" s="740"/>
      <c r="BU124" s="740"/>
      <c r="BV124" s="740"/>
      <c r="BW124" s="740"/>
      <c r="BX124" s="740"/>
      <c r="BY124" s="740"/>
      <c r="BZ124" s="740"/>
      <c r="CA124" s="740"/>
      <c r="CB124" s="740"/>
      <c r="CC124" s="740"/>
      <c r="CD124" s="740"/>
      <c r="CE124" s="740"/>
      <c r="CF124" s="740"/>
      <c r="CG124" s="740"/>
      <c r="CH124" s="740"/>
      <c r="CI124" s="740"/>
      <c r="CJ124" s="740"/>
      <c r="CK124" s="740"/>
      <c r="CL124" s="740"/>
      <c r="CM124" s="740"/>
      <c r="CN124" s="740"/>
      <c r="CO124" s="740"/>
      <c r="CP124" s="740"/>
      <c r="CQ124" s="740"/>
      <c r="CR124" s="740"/>
      <c r="CS124" s="740"/>
      <c r="CT124" s="740"/>
      <c r="CU124" s="740"/>
      <c r="CV124" s="740"/>
      <c r="CW124" s="740"/>
      <c r="CX124" s="740"/>
      <c r="CY124" s="740"/>
      <c r="CZ124" s="740"/>
      <c r="DA124" s="740"/>
      <c r="DB124" s="740"/>
      <c r="DC124" s="740"/>
      <c r="DD124" s="740"/>
      <c r="DE124" s="740"/>
      <c r="DF124" s="740"/>
      <c r="DG124" s="740"/>
      <c r="DH124" s="740"/>
      <c r="DI124" s="740"/>
      <c r="DJ124" s="740"/>
      <c r="DK124" s="740"/>
      <c r="DL124" s="740"/>
      <c r="DM124" s="740"/>
      <c r="DN124" s="740"/>
      <c r="DO124" s="740"/>
      <c r="DP124" s="740"/>
      <c r="DQ124" s="740"/>
      <c r="DR124" s="740"/>
      <c r="DS124" s="740"/>
      <c r="DT124" s="740"/>
      <c r="DU124" s="740"/>
      <c r="DV124" s="740"/>
      <c r="DW124" s="740"/>
      <c r="DX124" s="740"/>
      <c r="DY124" s="740"/>
      <c r="DZ124" s="740"/>
      <c r="EA124" s="740"/>
      <c r="EB124" s="740"/>
      <c r="EC124" s="740"/>
      <c r="ED124" s="740"/>
      <c r="EE124" s="740"/>
      <c r="EF124" s="740"/>
      <c r="EG124" s="740"/>
      <c r="EH124" s="740"/>
      <c r="EI124" s="740"/>
      <c r="EJ124" s="740"/>
      <c r="EK124" s="740"/>
      <c r="EL124" s="740"/>
      <c r="EM124" s="740"/>
      <c r="EN124" s="740"/>
      <c r="EO124" s="740"/>
      <c r="EP124" s="740"/>
      <c r="EQ124" s="740"/>
      <c r="ER124" s="740"/>
      <c r="ES124" s="740"/>
      <c r="ET124" s="740"/>
      <c r="EU124" s="740"/>
      <c r="EV124" s="740"/>
      <c r="EW124" s="740"/>
      <c r="EX124" s="740"/>
      <c r="EY124" s="740"/>
      <c r="EZ124" s="740"/>
      <c r="FA124" s="740"/>
      <c r="FB124" s="740"/>
      <c r="FC124" s="740"/>
      <c r="FD124" s="740"/>
      <c r="FE124" s="740"/>
      <c r="FF124" s="740"/>
      <c r="FG124" s="740"/>
      <c r="FH124" s="740"/>
      <c r="FI124" s="740"/>
      <c r="FJ124" s="740"/>
      <c r="FK124" s="740"/>
      <c r="FL124" s="740"/>
      <c r="FM124" s="740"/>
      <c r="FN124" s="740"/>
      <c r="FO124" s="740"/>
      <c r="FP124" s="740"/>
      <c r="FQ124" s="740"/>
      <c r="FR124" s="740"/>
      <c r="FS124" s="740"/>
      <c r="FT124" s="740"/>
      <c r="FU124" s="740"/>
      <c r="FV124" s="740"/>
      <c r="FW124" s="740"/>
      <c r="FX124" s="740"/>
      <c r="FY124" s="740"/>
      <c r="FZ124" s="740"/>
      <c r="GA124" s="740"/>
      <c r="GB124" s="740"/>
      <c r="GC124" s="740"/>
      <c r="GD124" s="740"/>
      <c r="GE124" s="740"/>
      <c r="GF124" s="740"/>
      <c r="GG124" s="740"/>
      <c r="GH124" s="740"/>
      <c r="GI124" s="740"/>
      <c r="GJ124" s="740"/>
      <c r="GK124" s="740"/>
      <c r="GL124" s="740"/>
      <c r="GM124" s="740"/>
      <c r="GN124" s="740"/>
      <c r="GO124" s="740"/>
      <c r="GP124" s="740"/>
      <c r="GQ124" s="740"/>
      <c r="GR124" s="740"/>
      <c r="GS124" s="740"/>
      <c r="GT124" s="740"/>
      <c r="GU124" s="740"/>
      <c r="GV124" s="740"/>
      <c r="GW124" s="740"/>
    </row>
    <row r="125" spans="1:205" ht="24" customHeight="1" x14ac:dyDescent="0.2">
      <c r="A125" s="2503"/>
      <c r="D125" s="982"/>
      <c r="E125" s="982"/>
      <c r="F125" s="1054"/>
      <c r="G125" s="1054"/>
      <c r="H125" s="1054"/>
      <c r="I125" s="1054"/>
      <c r="J125" s="1054"/>
      <c r="K125" s="983"/>
      <c r="L125" s="982"/>
      <c r="M125" s="983"/>
      <c r="N125" s="982"/>
      <c r="O125" s="983"/>
      <c r="P125" s="982"/>
      <c r="Q125" s="983"/>
      <c r="R125" s="1052"/>
      <c r="S125" s="1052"/>
      <c r="T125" s="740"/>
      <c r="U125" s="740"/>
      <c r="V125" s="740"/>
      <c r="W125" s="740"/>
      <c r="X125" s="740"/>
      <c r="Y125" s="740"/>
      <c r="Z125" s="740"/>
      <c r="AA125" s="740"/>
      <c r="AB125" s="740"/>
      <c r="AC125" s="740"/>
      <c r="AD125" s="740"/>
      <c r="AE125" s="740"/>
      <c r="AF125" s="740"/>
      <c r="AG125" s="740"/>
      <c r="AH125" s="740"/>
      <c r="AI125" s="740"/>
      <c r="AJ125" s="740"/>
      <c r="AK125" s="740"/>
      <c r="AL125" s="740"/>
      <c r="AM125" s="740"/>
      <c r="AN125" s="740"/>
      <c r="AO125" s="740"/>
      <c r="AP125" s="740"/>
      <c r="AQ125" s="740"/>
      <c r="AR125" s="740"/>
      <c r="AS125" s="740"/>
      <c r="AT125" s="740"/>
      <c r="AU125" s="740"/>
      <c r="AV125" s="740"/>
      <c r="AW125" s="740"/>
      <c r="AX125" s="740"/>
      <c r="AY125" s="740"/>
      <c r="AZ125" s="740"/>
      <c r="BA125" s="740"/>
      <c r="BB125" s="740"/>
      <c r="BC125" s="740"/>
      <c r="BD125" s="740"/>
      <c r="BE125" s="740"/>
      <c r="BF125" s="740"/>
      <c r="BG125" s="740"/>
      <c r="BH125" s="740"/>
      <c r="BI125" s="740"/>
      <c r="BJ125" s="740"/>
      <c r="BK125" s="740"/>
      <c r="BL125" s="740"/>
      <c r="BM125" s="740"/>
      <c r="BN125" s="740"/>
      <c r="BO125" s="740"/>
      <c r="BP125" s="740"/>
      <c r="BQ125" s="740"/>
      <c r="BR125" s="740"/>
      <c r="BS125" s="740"/>
      <c r="BT125" s="740"/>
      <c r="BU125" s="740"/>
      <c r="BV125" s="740"/>
      <c r="BW125" s="740"/>
      <c r="BX125" s="740"/>
      <c r="BY125" s="740"/>
      <c r="BZ125" s="740"/>
      <c r="CA125" s="740"/>
      <c r="CB125" s="740"/>
      <c r="CC125" s="740"/>
      <c r="CD125" s="740"/>
      <c r="CE125" s="740"/>
      <c r="CF125" s="740"/>
      <c r="CG125" s="740"/>
      <c r="CH125" s="740"/>
      <c r="CI125" s="740"/>
      <c r="CJ125" s="740"/>
      <c r="CK125" s="740"/>
      <c r="CL125" s="740"/>
      <c r="CM125" s="740"/>
      <c r="CN125" s="740"/>
      <c r="CO125" s="740"/>
      <c r="CP125" s="740"/>
      <c r="CQ125" s="740"/>
      <c r="CR125" s="740"/>
      <c r="CS125" s="740"/>
      <c r="CT125" s="740"/>
      <c r="CU125" s="740"/>
      <c r="CV125" s="740"/>
      <c r="CW125" s="740"/>
      <c r="CX125" s="740"/>
      <c r="CY125" s="740"/>
      <c r="CZ125" s="740"/>
      <c r="DA125" s="740"/>
      <c r="DB125" s="740"/>
      <c r="DC125" s="740"/>
      <c r="DD125" s="740"/>
      <c r="DE125" s="740"/>
      <c r="DF125" s="740"/>
      <c r="DG125" s="740"/>
      <c r="DH125" s="740"/>
      <c r="DI125" s="740"/>
      <c r="DJ125" s="740"/>
      <c r="DK125" s="740"/>
      <c r="DL125" s="740"/>
      <c r="DM125" s="740"/>
      <c r="DN125" s="740"/>
      <c r="DO125" s="740"/>
      <c r="DP125" s="740"/>
      <c r="DQ125" s="740"/>
      <c r="DR125" s="740"/>
      <c r="DS125" s="740"/>
      <c r="DT125" s="740"/>
      <c r="DU125" s="740"/>
      <c r="DV125" s="740"/>
      <c r="DW125" s="740"/>
      <c r="DX125" s="740"/>
      <c r="DY125" s="740"/>
      <c r="DZ125" s="740"/>
      <c r="EA125" s="740"/>
      <c r="EB125" s="740"/>
      <c r="EC125" s="740"/>
      <c r="ED125" s="740"/>
      <c r="EE125" s="740"/>
      <c r="EF125" s="740"/>
      <c r="EG125" s="740"/>
      <c r="EH125" s="740"/>
      <c r="EI125" s="740"/>
      <c r="EJ125" s="740"/>
      <c r="EK125" s="740"/>
      <c r="EL125" s="740"/>
      <c r="EM125" s="740"/>
      <c r="EN125" s="740"/>
      <c r="EO125" s="740"/>
      <c r="EP125" s="740"/>
      <c r="EQ125" s="740"/>
      <c r="ER125" s="740"/>
      <c r="ES125" s="740"/>
      <c r="ET125" s="740"/>
      <c r="EU125" s="740"/>
      <c r="EV125" s="740"/>
      <c r="EW125" s="740"/>
      <c r="EX125" s="740"/>
      <c r="EY125" s="740"/>
      <c r="EZ125" s="740"/>
      <c r="FA125" s="740"/>
      <c r="FB125" s="740"/>
      <c r="FC125" s="740"/>
      <c r="FD125" s="740"/>
      <c r="FE125" s="740"/>
      <c r="FF125" s="740"/>
      <c r="FG125" s="740"/>
      <c r="FH125" s="740"/>
      <c r="FI125" s="740"/>
      <c r="FJ125" s="740"/>
      <c r="FK125" s="740"/>
      <c r="FL125" s="740"/>
      <c r="FM125" s="740"/>
      <c r="FN125" s="740"/>
      <c r="FO125" s="740"/>
      <c r="FP125" s="740"/>
      <c r="FQ125" s="740"/>
      <c r="FR125" s="740"/>
      <c r="FS125" s="740"/>
      <c r="FT125" s="740"/>
      <c r="FU125" s="740"/>
      <c r="FV125" s="740"/>
      <c r="FW125" s="740"/>
      <c r="FX125" s="740"/>
      <c r="FY125" s="740"/>
      <c r="FZ125" s="740"/>
      <c r="GA125" s="740"/>
      <c r="GB125" s="740"/>
      <c r="GC125" s="740"/>
      <c r="GD125" s="740"/>
      <c r="GE125" s="740"/>
      <c r="GF125" s="740"/>
      <c r="GG125" s="740"/>
      <c r="GH125" s="740"/>
      <c r="GI125" s="740"/>
      <c r="GJ125" s="740"/>
      <c r="GK125" s="740"/>
      <c r="GL125" s="740"/>
      <c r="GM125" s="740"/>
      <c r="GN125" s="740"/>
      <c r="GO125" s="740"/>
      <c r="GP125" s="740"/>
      <c r="GQ125" s="740"/>
      <c r="GR125" s="740"/>
      <c r="GS125" s="740"/>
      <c r="GT125" s="740"/>
      <c r="GU125" s="740"/>
      <c r="GV125" s="740"/>
      <c r="GW125" s="740"/>
    </row>
    <row r="126" spans="1:205" ht="24" customHeight="1" x14ac:dyDescent="0.2">
      <c r="A126" s="2503"/>
      <c r="D126" s="982"/>
      <c r="E126" s="982"/>
      <c r="F126" s="1054"/>
      <c r="G126" s="1054"/>
      <c r="H126" s="1054"/>
      <c r="I126" s="1054"/>
      <c r="J126" s="1054"/>
      <c r="K126" s="983"/>
      <c r="L126" s="982"/>
      <c r="M126" s="983"/>
      <c r="N126" s="982"/>
      <c r="O126" s="983"/>
      <c r="P126" s="982"/>
      <c r="Q126" s="983"/>
      <c r="R126" s="1052"/>
      <c r="S126" s="1052"/>
      <c r="T126" s="740"/>
      <c r="U126" s="740"/>
      <c r="V126" s="740"/>
      <c r="W126" s="740"/>
      <c r="X126" s="740"/>
      <c r="Y126" s="740"/>
      <c r="Z126" s="740"/>
      <c r="AA126" s="740"/>
      <c r="AB126" s="740"/>
      <c r="AC126" s="740"/>
      <c r="AD126" s="740"/>
      <c r="AE126" s="740"/>
      <c r="AF126" s="740"/>
      <c r="AG126" s="740"/>
      <c r="AH126" s="740"/>
      <c r="AI126" s="740"/>
      <c r="AJ126" s="740"/>
      <c r="AK126" s="740"/>
      <c r="AL126" s="740"/>
      <c r="AM126" s="740"/>
      <c r="AN126" s="740"/>
      <c r="AO126" s="740"/>
      <c r="AP126" s="740"/>
      <c r="AQ126" s="740"/>
      <c r="AR126" s="740"/>
      <c r="AS126" s="740"/>
      <c r="AT126" s="740"/>
      <c r="AU126" s="740"/>
      <c r="AV126" s="740"/>
      <c r="AW126" s="740"/>
      <c r="AX126" s="740"/>
      <c r="AY126" s="740"/>
      <c r="AZ126" s="740"/>
      <c r="BA126" s="740"/>
      <c r="BB126" s="740"/>
      <c r="BC126" s="740"/>
      <c r="BD126" s="740"/>
      <c r="BE126" s="740"/>
      <c r="BF126" s="740"/>
      <c r="BG126" s="740"/>
      <c r="BH126" s="740"/>
      <c r="BI126" s="740"/>
      <c r="BJ126" s="740"/>
      <c r="BK126" s="740"/>
      <c r="BL126" s="740"/>
      <c r="BM126" s="740"/>
      <c r="BN126" s="740"/>
      <c r="BO126" s="740"/>
      <c r="BP126" s="740"/>
      <c r="BQ126" s="740"/>
      <c r="BR126" s="740"/>
      <c r="BS126" s="740"/>
      <c r="BT126" s="740"/>
      <c r="BU126" s="740"/>
      <c r="BV126" s="740"/>
      <c r="BW126" s="740"/>
      <c r="BX126" s="740"/>
      <c r="BY126" s="740"/>
      <c r="BZ126" s="740"/>
      <c r="CA126" s="740"/>
      <c r="CB126" s="740"/>
      <c r="CC126" s="740"/>
      <c r="CD126" s="740"/>
      <c r="CE126" s="740"/>
      <c r="CF126" s="740"/>
      <c r="CG126" s="740"/>
      <c r="CH126" s="740"/>
      <c r="CI126" s="740"/>
      <c r="CJ126" s="740"/>
      <c r="CK126" s="740"/>
      <c r="CL126" s="740"/>
      <c r="CM126" s="740"/>
      <c r="CN126" s="740"/>
      <c r="CO126" s="740"/>
      <c r="CP126" s="740"/>
      <c r="CQ126" s="740"/>
      <c r="CR126" s="740"/>
      <c r="CS126" s="740"/>
      <c r="CT126" s="740"/>
      <c r="CU126" s="740"/>
      <c r="CV126" s="740"/>
      <c r="CW126" s="740"/>
      <c r="CX126" s="740"/>
      <c r="CY126" s="740"/>
      <c r="CZ126" s="740"/>
      <c r="DA126" s="740"/>
      <c r="DB126" s="740"/>
      <c r="DC126" s="740"/>
      <c r="DD126" s="740"/>
      <c r="DE126" s="740"/>
      <c r="DF126" s="740"/>
      <c r="DG126" s="740"/>
      <c r="DH126" s="740"/>
      <c r="DI126" s="740"/>
      <c r="DJ126" s="740"/>
      <c r="DK126" s="740"/>
      <c r="DL126" s="740"/>
      <c r="DM126" s="740"/>
      <c r="DN126" s="740"/>
      <c r="DO126" s="740"/>
      <c r="DP126" s="740"/>
      <c r="DQ126" s="740"/>
      <c r="DR126" s="740"/>
      <c r="DS126" s="740"/>
      <c r="DT126" s="740"/>
      <c r="DU126" s="740"/>
      <c r="DV126" s="740"/>
      <c r="DW126" s="740"/>
      <c r="DX126" s="740"/>
      <c r="DY126" s="740"/>
      <c r="DZ126" s="740"/>
      <c r="EA126" s="740"/>
      <c r="EB126" s="740"/>
      <c r="EC126" s="740"/>
      <c r="ED126" s="740"/>
      <c r="EE126" s="740"/>
      <c r="EF126" s="740"/>
      <c r="EG126" s="740"/>
      <c r="EH126" s="740"/>
      <c r="EI126" s="740"/>
      <c r="EJ126" s="740"/>
      <c r="EK126" s="740"/>
      <c r="EL126" s="740"/>
      <c r="EM126" s="740"/>
      <c r="EN126" s="740"/>
      <c r="EO126" s="740"/>
      <c r="EP126" s="740"/>
      <c r="EQ126" s="740"/>
      <c r="ER126" s="740"/>
      <c r="ES126" s="740"/>
      <c r="ET126" s="740"/>
      <c r="EU126" s="740"/>
      <c r="EV126" s="740"/>
      <c r="EW126" s="740"/>
      <c r="EX126" s="740"/>
      <c r="EY126" s="740"/>
      <c r="EZ126" s="740"/>
      <c r="FA126" s="740"/>
      <c r="FB126" s="740"/>
      <c r="FC126" s="740"/>
      <c r="FD126" s="740"/>
      <c r="FE126" s="740"/>
      <c r="FF126" s="740"/>
      <c r="FG126" s="740"/>
      <c r="FH126" s="740"/>
      <c r="FI126" s="740"/>
      <c r="FJ126" s="740"/>
      <c r="FK126" s="740"/>
      <c r="FL126" s="740"/>
      <c r="FM126" s="740"/>
      <c r="FN126" s="740"/>
      <c r="FO126" s="740"/>
      <c r="FP126" s="740"/>
      <c r="FQ126" s="740"/>
      <c r="FR126" s="740"/>
      <c r="FS126" s="740"/>
      <c r="FT126" s="740"/>
      <c r="FU126" s="740"/>
      <c r="FV126" s="740"/>
      <c r="FW126" s="740"/>
      <c r="FX126" s="740"/>
      <c r="FY126" s="740"/>
      <c r="FZ126" s="740"/>
      <c r="GA126" s="740"/>
      <c r="GB126" s="740"/>
      <c r="GC126" s="740"/>
      <c r="GD126" s="740"/>
      <c r="GE126" s="740"/>
      <c r="GF126" s="740"/>
      <c r="GG126" s="740"/>
      <c r="GH126" s="740"/>
      <c r="GI126" s="740"/>
      <c r="GJ126" s="740"/>
      <c r="GK126" s="740"/>
      <c r="GL126" s="740"/>
      <c r="GM126" s="740"/>
      <c r="GN126" s="740"/>
      <c r="GO126" s="740"/>
      <c r="GP126" s="740"/>
      <c r="GQ126" s="740"/>
      <c r="GR126" s="740"/>
      <c r="GS126" s="740"/>
      <c r="GT126" s="740"/>
      <c r="GU126" s="740"/>
      <c r="GV126" s="740"/>
      <c r="GW126" s="740"/>
    </row>
    <row r="127" spans="1:205" ht="28.15" customHeight="1" x14ac:dyDescent="0.2">
      <c r="A127" s="2503"/>
      <c r="D127" s="982"/>
      <c r="E127" s="1122"/>
      <c r="F127" s="1276" t="s">
        <v>1073</v>
      </c>
      <c r="G127" s="1123"/>
      <c r="H127" s="1124"/>
      <c r="I127" s="1124"/>
      <c r="J127" s="1124"/>
      <c r="K127" s="1277" t="s">
        <v>1074</v>
      </c>
      <c r="L127" s="1125"/>
      <c r="M127" s="1283" t="s">
        <v>1075</v>
      </c>
      <c r="N127" s="871"/>
      <c r="O127" s="1278" t="s">
        <v>1076</v>
      </c>
      <c r="P127" s="1125"/>
      <c r="Q127"/>
      <c r="R127"/>
      <c r="S127" s="726"/>
      <c r="U127" s="740"/>
      <c r="V127" s="740"/>
      <c r="W127" s="740"/>
      <c r="X127" s="740"/>
      <c r="Y127" s="740"/>
      <c r="Z127" s="740"/>
      <c r="AA127" s="740"/>
      <c r="AB127" s="740"/>
      <c r="AC127" s="740"/>
      <c r="AD127" s="740"/>
      <c r="AE127" s="740"/>
      <c r="AF127" s="740"/>
      <c r="AG127" s="740"/>
      <c r="AH127" s="740"/>
      <c r="AI127" s="740"/>
      <c r="AJ127" s="740"/>
      <c r="AK127" s="740"/>
      <c r="AL127" s="740"/>
      <c r="AM127" s="740"/>
      <c r="AN127" s="740"/>
      <c r="AO127" s="740"/>
      <c r="AP127" s="740"/>
      <c r="AQ127" s="740"/>
      <c r="AR127" s="740"/>
      <c r="AS127" s="740"/>
      <c r="AT127" s="740"/>
      <c r="AU127" s="740"/>
      <c r="AV127" s="740"/>
      <c r="AW127" s="740"/>
      <c r="AX127" s="740"/>
      <c r="AY127" s="740"/>
      <c r="AZ127" s="740"/>
      <c r="BA127" s="740"/>
      <c r="BB127" s="740"/>
      <c r="BC127" s="740"/>
      <c r="BD127" s="740"/>
      <c r="BE127" s="740"/>
      <c r="BF127" s="740"/>
      <c r="BG127" s="740"/>
      <c r="BH127" s="740"/>
      <c r="BI127" s="740"/>
      <c r="BJ127" s="740"/>
      <c r="BK127" s="740"/>
      <c r="BL127" s="740"/>
      <c r="BM127" s="740"/>
      <c r="BN127" s="740"/>
      <c r="BO127" s="740"/>
      <c r="BP127" s="740"/>
      <c r="BQ127" s="740"/>
      <c r="BR127" s="740"/>
      <c r="BS127" s="740"/>
      <c r="BT127" s="740"/>
      <c r="BU127" s="740"/>
      <c r="BV127" s="740"/>
      <c r="BW127" s="740"/>
      <c r="BX127" s="740"/>
      <c r="BY127" s="740"/>
      <c r="BZ127" s="740"/>
      <c r="CA127" s="740"/>
      <c r="CB127" s="740"/>
      <c r="CC127" s="740"/>
      <c r="CD127" s="740"/>
      <c r="CE127" s="740"/>
      <c r="CF127" s="740"/>
      <c r="CG127" s="740"/>
      <c r="CH127" s="740"/>
      <c r="CI127" s="740"/>
      <c r="CJ127" s="740"/>
      <c r="CK127" s="740"/>
      <c r="CL127" s="740"/>
      <c r="CM127" s="740"/>
      <c r="CN127" s="740"/>
      <c r="CO127" s="740"/>
      <c r="CP127" s="740"/>
      <c r="CQ127" s="740"/>
      <c r="CR127" s="740"/>
      <c r="CS127" s="740"/>
      <c r="CT127" s="740"/>
      <c r="CU127" s="740"/>
      <c r="CV127" s="740"/>
      <c r="CW127" s="740"/>
      <c r="CX127" s="740"/>
      <c r="CY127" s="740"/>
      <c r="CZ127" s="740"/>
      <c r="DA127" s="740"/>
      <c r="DB127" s="740"/>
      <c r="DC127" s="740"/>
      <c r="DD127" s="740"/>
      <c r="DE127" s="740"/>
      <c r="DF127" s="740"/>
      <c r="DG127" s="740"/>
      <c r="DH127" s="740"/>
      <c r="DI127" s="740"/>
      <c r="DJ127" s="740"/>
      <c r="DK127" s="740"/>
      <c r="DL127" s="740"/>
      <c r="DM127" s="740"/>
      <c r="DN127" s="740"/>
      <c r="DO127" s="740"/>
      <c r="DP127" s="740"/>
      <c r="DQ127" s="740"/>
      <c r="DR127" s="740"/>
      <c r="DS127" s="740"/>
      <c r="DT127" s="740"/>
      <c r="DU127" s="740"/>
      <c r="DV127" s="740"/>
      <c r="DW127" s="740"/>
      <c r="DX127" s="740"/>
      <c r="DY127" s="740"/>
      <c r="DZ127" s="740"/>
      <c r="EA127" s="740"/>
      <c r="EB127" s="740"/>
      <c r="EC127" s="740"/>
      <c r="ED127" s="740"/>
      <c r="EE127" s="740"/>
      <c r="EF127" s="740"/>
      <c r="EG127" s="740"/>
      <c r="EH127" s="740"/>
      <c r="EI127" s="740"/>
      <c r="EJ127" s="740"/>
      <c r="EK127" s="740"/>
      <c r="EL127" s="740"/>
      <c r="EM127" s="740"/>
      <c r="EN127" s="740"/>
      <c r="EO127" s="740"/>
      <c r="EP127" s="740"/>
      <c r="EQ127" s="740"/>
      <c r="ER127" s="740"/>
      <c r="ES127" s="740"/>
      <c r="ET127" s="740"/>
      <c r="EU127" s="740"/>
      <c r="EV127" s="740"/>
      <c r="EW127" s="740"/>
      <c r="EX127" s="740"/>
      <c r="EY127" s="740"/>
      <c r="EZ127" s="740"/>
      <c r="FA127" s="740"/>
      <c r="FB127" s="740"/>
      <c r="FC127" s="740"/>
      <c r="FD127" s="740"/>
      <c r="FE127" s="740"/>
      <c r="FF127" s="740"/>
      <c r="FG127" s="740"/>
      <c r="FH127" s="740"/>
      <c r="FI127" s="740"/>
      <c r="FJ127" s="740"/>
      <c r="FK127" s="740"/>
      <c r="FL127" s="740"/>
      <c r="FM127" s="740"/>
      <c r="FN127" s="740"/>
      <c r="FO127" s="740"/>
      <c r="FP127" s="740"/>
      <c r="FQ127" s="740"/>
      <c r="FR127" s="740"/>
      <c r="FS127" s="740"/>
      <c r="FT127" s="740"/>
      <c r="FU127" s="740"/>
      <c r="FV127" s="740"/>
      <c r="FW127" s="740"/>
      <c r="FX127" s="740"/>
      <c r="FY127" s="740"/>
      <c r="FZ127" s="740"/>
      <c r="GA127" s="740"/>
      <c r="GB127" s="740"/>
      <c r="GC127" s="740"/>
      <c r="GD127" s="740"/>
      <c r="GE127" s="740"/>
      <c r="GF127" s="740"/>
      <c r="GG127" s="740"/>
      <c r="GH127" s="740"/>
      <c r="GI127" s="740"/>
      <c r="GJ127" s="740"/>
      <c r="GK127" s="740"/>
      <c r="GL127" s="740"/>
      <c r="GM127" s="740"/>
      <c r="GN127" s="740"/>
      <c r="GO127" s="740"/>
      <c r="GP127" s="740"/>
      <c r="GQ127" s="740"/>
      <c r="GR127" s="740"/>
      <c r="GS127" s="740"/>
      <c r="GT127" s="740"/>
      <c r="GU127" s="740"/>
      <c r="GV127" s="740"/>
      <c r="GW127" s="740"/>
    </row>
    <row r="128" spans="1:205" ht="30.2" customHeight="1" x14ac:dyDescent="0.2">
      <c r="A128" s="2503"/>
      <c r="D128" s="1053"/>
      <c r="E128" s="1126"/>
      <c r="F128" s="1274" t="s">
        <v>237</v>
      </c>
      <c r="G128" s="1152"/>
      <c r="H128" s="1152"/>
      <c r="I128" s="1152"/>
      <c r="J128" s="1153" t="s">
        <v>238</v>
      </c>
      <c r="K128" s="1275">
        <f>L7</f>
        <v>30</v>
      </c>
      <c r="L128" s="1154"/>
      <c r="M128" s="1284">
        <f>N7</f>
        <v>28</v>
      </c>
      <c r="N128" s="1285"/>
      <c r="O128" s="1275">
        <f>P7</f>
        <v>26</v>
      </c>
      <c r="P128" s="1154"/>
      <c r="Q128"/>
      <c r="R128"/>
      <c r="S128" s="726"/>
      <c r="U128"/>
      <c r="V128"/>
      <c r="W128"/>
      <c r="X128" s="740"/>
      <c r="Y128" s="740"/>
      <c r="Z128" s="740"/>
      <c r="AA128" s="740"/>
      <c r="AB128" s="740"/>
      <c r="AC128" s="740"/>
      <c r="AD128" s="740"/>
      <c r="AE128" s="740"/>
      <c r="AF128" s="740"/>
      <c r="AG128" s="740"/>
      <c r="AH128" s="740"/>
      <c r="AI128" s="740"/>
      <c r="AJ128" s="740"/>
      <c r="AK128" s="740"/>
      <c r="AL128" s="740"/>
      <c r="AM128" s="740"/>
      <c r="AN128" s="740"/>
      <c r="AO128" s="740"/>
      <c r="AP128" s="740"/>
      <c r="AQ128" s="740"/>
      <c r="AR128" s="740"/>
      <c r="AS128" s="740"/>
      <c r="AT128" s="740"/>
      <c r="AU128" s="740"/>
      <c r="AV128" s="740"/>
      <c r="AW128" s="740"/>
      <c r="AX128" s="740"/>
      <c r="AY128" s="740"/>
      <c r="AZ128" s="740"/>
      <c r="BA128" s="740"/>
      <c r="BB128" s="740"/>
      <c r="BC128" s="740"/>
      <c r="BD128" s="740"/>
      <c r="BE128" s="740"/>
      <c r="BF128" s="740"/>
      <c r="BG128" s="740"/>
      <c r="BH128" s="740"/>
      <c r="BI128" s="740"/>
      <c r="BJ128" s="740"/>
      <c r="BK128" s="740"/>
      <c r="BL128" s="740"/>
      <c r="BM128" s="740"/>
      <c r="BN128" s="740"/>
      <c r="BO128" s="740"/>
      <c r="BP128" s="740"/>
      <c r="BQ128" s="740"/>
      <c r="BR128" s="740"/>
      <c r="BS128" s="740"/>
      <c r="BT128" s="740"/>
      <c r="BU128" s="740"/>
      <c r="BV128" s="740"/>
      <c r="BW128" s="740"/>
      <c r="BX128" s="740"/>
      <c r="BY128" s="740"/>
      <c r="BZ128" s="740"/>
      <c r="CA128" s="740"/>
      <c r="CB128" s="740"/>
      <c r="CC128" s="740"/>
      <c r="CD128" s="740"/>
      <c r="CE128" s="740"/>
      <c r="CF128" s="740"/>
      <c r="CG128" s="740"/>
      <c r="CH128" s="740"/>
      <c r="CI128" s="740"/>
      <c r="CJ128" s="740"/>
      <c r="CK128" s="740"/>
      <c r="CL128" s="740"/>
      <c r="CM128" s="740"/>
      <c r="CN128" s="740"/>
      <c r="CO128" s="740"/>
      <c r="CP128" s="740"/>
      <c r="CQ128" s="740"/>
      <c r="CR128" s="740"/>
      <c r="CS128" s="740"/>
      <c r="CT128" s="740"/>
      <c r="CU128" s="740"/>
      <c r="CV128" s="740"/>
      <c r="CW128" s="740"/>
      <c r="CX128" s="740"/>
      <c r="CY128" s="740"/>
      <c r="CZ128" s="740"/>
      <c r="DA128" s="740"/>
      <c r="DB128" s="740"/>
      <c r="DC128" s="740"/>
      <c r="DD128" s="740"/>
      <c r="DE128" s="740"/>
      <c r="DF128" s="740"/>
      <c r="DG128" s="740"/>
      <c r="DH128" s="740"/>
      <c r="DI128" s="740"/>
      <c r="DJ128" s="740"/>
      <c r="DK128" s="740"/>
      <c r="DL128" s="740"/>
      <c r="DM128" s="740"/>
      <c r="DN128" s="740"/>
      <c r="DO128" s="740"/>
      <c r="DP128" s="740"/>
      <c r="DQ128" s="740"/>
      <c r="DR128" s="740"/>
      <c r="DS128" s="740"/>
      <c r="DT128" s="740"/>
      <c r="DU128" s="740"/>
      <c r="DV128" s="740"/>
      <c r="DW128" s="740"/>
      <c r="DX128" s="740"/>
      <c r="DY128" s="740"/>
      <c r="DZ128" s="740"/>
      <c r="EA128" s="740"/>
      <c r="EB128" s="740"/>
      <c r="EC128" s="740"/>
      <c r="ED128" s="740"/>
      <c r="EE128" s="740"/>
      <c r="EF128" s="740"/>
      <c r="EG128" s="740"/>
      <c r="EH128" s="740"/>
      <c r="EI128" s="740"/>
      <c r="EJ128" s="740"/>
      <c r="EK128" s="740"/>
      <c r="EL128" s="740"/>
      <c r="EM128" s="740"/>
      <c r="EN128" s="740"/>
      <c r="EO128" s="740"/>
      <c r="EP128" s="740"/>
      <c r="EQ128" s="740"/>
      <c r="ER128" s="740"/>
      <c r="ES128" s="740"/>
      <c r="ET128" s="740"/>
      <c r="EU128" s="740"/>
      <c r="EV128" s="740"/>
      <c r="EW128" s="740"/>
      <c r="EX128" s="740"/>
      <c r="EY128" s="740"/>
      <c r="EZ128" s="740"/>
      <c r="FA128" s="740"/>
      <c r="FB128" s="740"/>
      <c r="FC128" s="740"/>
      <c r="FD128" s="740"/>
      <c r="FE128" s="740"/>
      <c r="FF128" s="740"/>
      <c r="FG128" s="740"/>
      <c r="FH128" s="740"/>
      <c r="FI128" s="740"/>
      <c r="FJ128" s="740"/>
      <c r="FK128" s="740"/>
      <c r="FL128" s="740"/>
      <c r="FM128" s="740"/>
      <c r="FN128" s="740"/>
      <c r="FO128" s="740"/>
      <c r="FP128" s="740"/>
      <c r="FQ128" s="740"/>
      <c r="FR128" s="740"/>
      <c r="FS128" s="740"/>
      <c r="FT128" s="740"/>
      <c r="FU128" s="740"/>
      <c r="FV128" s="740"/>
      <c r="FW128" s="740"/>
      <c r="FX128" s="740"/>
      <c r="FY128" s="740"/>
      <c r="FZ128" s="740"/>
      <c r="GA128" s="740"/>
      <c r="GB128" s="740"/>
      <c r="GC128" s="740"/>
      <c r="GD128" s="740"/>
      <c r="GE128" s="740"/>
      <c r="GF128" s="740"/>
      <c r="GG128" s="740"/>
      <c r="GH128" s="740"/>
      <c r="GI128" s="740"/>
      <c r="GJ128" s="740"/>
      <c r="GK128" s="740"/>
      <c r="GL128" s="740"/>
      <c r="GM128" s="740"/>
      <c r="GN128" s="740"/>
      <c r="GO128" s="740"/>
      <c r="GP128" s="740"/>
      <c r="GQ128" s="740"/>
      <c r="GR128" s="740"/>
      <c r="GS128" s="740"/>
      <c r="GT128" s="740"/>
      <c r="GU128" s="740"/>
      <c r="GV128" s="740"/>
      <c r="GW128" s="740"/>
    </row>
    <row r="129" spans="1:205" ht="24.6" customHeight="1" x14ac:dyDescent="0.2">
      <c r="A129" s="2503"/>
      <c r="D129" s="1053"/>
      <c r="E129" s="1126"/>
      <c r="F129" s="1279" t="s">
        <v>523</v>
      </c>
      <c r="G129" s="987"/>
      <c r="H129" s="987"/>
      <c r="I129" s="987"/>
      <c r="J129" s="987"/>
      <c r="K129" s="3993">
        <f>12/K128</f>
        <v>0.4</v>
      </c>
      <c r="L129" s="3994"/>
      <c r="M129" s="3991">
        <f>12/M128</f>
        <v>0.42857142857142855</v>
      </c>
      <c r="N129" s="3992"/>
      <c r="O129" s="3993">
        <f>12/O128</f>
        <v>0.46153846153846156</v>
      </c>
      <c r="P129" s="3994"/>
      <c r="Q129"/>
      <c r="R129"/>
      <c r="S129" s="726"/>
      <c r="U129"/>
      <c r="V129"/>
      <c r="W129"/>
      <c r="X129" s="740"/>
      <c r="Y129" s="740"/>
      <c r="Z129" s="740"/>
      <c r="AA129" s="739"/>
      <c r="AB129" s="189"/>
      <c r="AC129" s="189"/>
      <c r="AD129" s="189"/>
      <c r="AE129" s="189"/>
      <c r="AF129" s="189"/>
      <c r="AG129" s="189"/>
      <c r="AH129" s="291"/>
      <c r="AI129" s="189"/>
      <c r="AJ129" s="687"/>
      <c r="AK129" s="189"/>
      <c r="AL129" s="687"/>
      <c r="AM129" s="189"/>
      <c r="AN129" s="687"/>
      <c r="AO129" s="189"/>
      <c r="AP129" s="687"/>
      <c r="AQ129" s="740"/>
      <c r="AR129" s="740"/>
      <c r="AS129" s="740"/>
      <c r="AT129" s="740"/>
      <c r="AU129" s="740"/>
      <c r="AV129" s="740"/>
      <c r="AW129" s="740"/>
      <c r="AX129" s="740"/>
      <c r="AY129" s="740"/>
      <c r="AZ129" s="740"/>
      <c r="BA129" s="740"/>
      <c r="BB129" s="740"/>
      <c r="BC129" s="740"/>
      <c r="BD129" s="740"/>
      <c r="BE129" s="740"/>
      <c r="BF129" s="740"/>
      <c r="BG129" s="740"/>
      <c r="BH129" s="740"/>
      <c r="BI129" s="740"/>
      <c r="BJ129" s="740"/>
      <c r="BK129" s="740"/>
      <c r="BL129" s="740"/>
      <c r="BM129" s="740"/>
      <c r="BN129" s="740"/>
      <c r="BO129" s="740"/>
      <c r="BP129" s="740"/>
      <c r="BQ129" s="740"/>
      <c r="BR129" s="740"/>
      <c r="BS129" s="740"/>
      <c r="BT129" s="740"/>
      <c r="BU129" s="740"/>
      <c r="BV129" s="740"/>
      <c r="BW129" s="740"/>
      <c r="BX129" s="740"/>
      <c r="BY129" s="740"/>
      <c r="BZ129" s="740"/>
      <c r="CA129" s="740"/>
      <c r="CB129" s="740"/>
      <c r="CC129" s="740"/>
      <c r="CD129" s="740"/>
      <c r="CE129" s="740"/>
      <c r="CF129" s="740"/>
      <c r="CG129" s="740"/>
      <c r="CH129" s="740"/>
      <c r="CI129" s="740"/>
      <c r="CJ129" s="740"/>
      <c r="CK129" s="740"/>
      <c r="CL129" s="740"/>
      <c r="CM129" s="740"/>
      <c r="CN129" s="740"/>
      <c r="CO129" s="740"/>
      <c r="CP129" s="740"/>
      <c r="CQ129" s="740"/>
      <c r="CR129" s="740"/>
      <c r="CS129" s="740"/>
      <c r="CT129" s="740"/>
      <c r="CU129" s="740"/>
      <c r="CV129" s="740"/>
      <c r="CW129" s="740"/>
      <c r="CX129" s="740"/>
      <c r="CY129" s="740"/>
      <c r="CZ129" s="740"/>
      <c r="DA129" s="740"/>
      <c r="DB129" s="740"/>
      <c r="DC129" s="740"/>
      <c r="DD129" s="740"/>
      <c r="DE129" s="740"/>
      <c r="DF129" s="740"/>
      <c r="DG129" s="740"/>
      <c r="DH129" s="740"/>
      <c r="DI129" s="740"/>
      <c r="DJ129" s="740"/>
      <c r="DK129" s="740"/>
      <c r="DL129" s="740"/>
      <c r="DM129" s="740"/>
      <c r="DN129" s="740"/>
      <c r="DO129" s="740"/>
      <c r="DP129" s="740"/>
      <c r="DQ129" s="740"/>
      <c r="DR129" s="740"/>
      <c r="DS129" s="740"/>
      <c r="DT129" s="740"/>
      <c r="DU129" s="740"/>
      <c r="DV129" s="740"/>
      <c r="DW129" s="740"/>
      <c r="DX129" s="740"/>
      <c r="DY129" s="740"/>
      <c r="DZ129" s="740"/>
      <c r="EA129" s="740"/>
      <c r="EB129" s="740"/>
      <c r="EC129" s="740"/>
      <c r="ED129" s="740"/>
      <c r="EE129" s="740"/>
      <c r="EF129" s="740"/>
      <c r="EG129" s="740"/>
      <c r="EH129" s="740"/>
      <c r="EI129" s="740"/>
      <c r="EJ129" s="740"/>
      <c r="EK129" s="740"/>
      <c r="EL129" s="740"/>
      <c r="EM129" s="740"/>
      <c r="EN129" s="740"/>
      <c r="EO129" s="740"/>
      <c r="EP129" s="740"/>
      <c r="EQ129" s="740"/>
      <c r="ER129" s="740"/>
      <c r="ES129" s="740"/>
      <c r="ET129" s="740"/>
      <c r="EU129" s="740"/>
      <c r="EV129" s="740"/>
      <c r="EW129" s="740"/>
      <c r="EX129" s="740"/>
      <c r="EY129" s="740"/>
      <c r="EZ129" s="740"/>
      <c r="FA129" s="740"/>
      <c r="FB129" s="740"/>
      <c r="FC129" s="740"/>
      <c r="FD129" s="740"/>
      <c r="FE129" s="740"/>
      <c r="FF129" s="740"/>
      <c r="FG129" s="740"/>
      <c r="FH129" s="740"/>
      <c r="FI129" s="740"/>
      <c r="FJ129" s="740"/>
      <c r="FK129" s="740"/>
      <c r="FL129" s="740"/>
      <c r="FM129" s="740"/>
      <c r="FN129" s="740"/>
      <c r="FO129" s="740"/>
      <c r="FP129" s="740"/>
      <c r="FQ129" s="740"/>
      <c r="FR129" s="740"/>
      <c r="FS129" s="740"/>
      <c r="FT129" s="740"/>
      <c r="FU129" s="740"/>
      <c r="FV129" s="740"/>
      <c r="FW129" s="740"/>
      <c r="FX129" s="740"/>
      <c r="FY129" s="740"/>
      <c r="FZ129" s="740"/>
      <c r="GA129" s="740"/>
      <c r="GB129" s="740"/>
      <c r="GC129" s="740"/>
      <c r="GD129" s="740"/>
      <c r="GE129" s="740"/>
      <c r="GF129" s="740"/>
      <c r="GG129" s="740"/>
      <c r="GH129" s="740"/>
      <c r="GI129" s="740"/>
      <c r="GJ129" s="740"/>
      <c r="GK129" s="740"/>
      <c r="GL129" s="740"/>
      <c r="GM129" s="740"/>
      <c r="GN129" s="740"/>
      <c r="GO129" s="740"/>
      <c r="GP129" s="740"/>
      <c r="GQ129" s="740"/>
      <c r="GR129" s="740"/>
      <c r="GS129" s="740"/>
      <c r="GT129" s="740"/>
      <c r="GU129" s="740"/>
      <c r="GV129" s="740"/>
      <c r="GW129" s="740"/>
    </row>
    <row r="130" spans="1:205" ht="32.450000000000003" customHeight="1" x14ac:dyDescent="0.2">
      <c r="A130" s="2503"/>
      <c r="D130" s="1053"/>
      <c r="E130" s="1280" t="s">
        <v>634</v>
      </c>
      <c r="F130" s="1155"/>
      <c r="G130" s="1155"/>
      <c r="H130" s="1155"/>
      <c r="I130" s="1155"/>
      <c r="J130" s="1155"/>
      <c r="K130" s="1155"/>
      <c r="L130" s="1155"/>
      <c r="M130" s="1286"/>
      <c r="N130" s="1286"/>
      <c r="O130" s="1155"/>
      <c r="P130" s="1156"/>
      <c r="Q130"/>
      <c r="R130"/>
      <c r="S130" s="1151"/>
      <c r="U130"/>
      <c r="V130"/>
      <c r="W130"/>
      <c r="X130" s="740"/>
      <c r="Y130" s="740"/>
      <c r="Z130" s="740"/>
      <c r="AA130" s="739"/>
      <c r="AB130" s="189"/>
      <c r="AU130" s="740"/>
      <c r="AV130" s="740"/>
      <c r="AW130" s="740"/>
      <c r="AX130" s="740"/>
      <c r="AY130" s="740"/>
      <c r="AZ130" s="740"/>
      <c r="BA130" s="740"/>
      <c r="BB130" s="740"/>
      <c r="BC130" s="740"/>
      <c r="BD130" s="740"/>
      <c r="BE130" s="740"/>
      <c r="BF130" s="740"/>
      <c r="BG130" s="740"/>
      <c r="BH130" s="740"/>
      <c r="BI130" s="740"/>
      <c r="BJ130" s="740"/>
      <c r="BK130" s="740"/>
      <c r="BL130" s="740"/>
      <c r="BM130" s="740"/>
      <c r="BN130" s="740"/>
      <c r="BO130" s="740"/>
      <c r="BP130" s="740"/>
      <c r="BQ130" s="740"/>
      <c r="BR130" s="740"/>
      <c r="BS130" s="740"/>
      <c r="BT130" s="740"/>
      <c r="BU130" s="740"/>
      <c r="BV130" s="740"/>
      <c r="BW130" s="740"/>
      <c r="BX130" s="740"/>
      <c r="BY130" s="740"/>
      <c r="BZ130" s="740"/>
      <c r="CA130" s="740"/>
      <c r="CB130" s="740"/>
      <c r="CC130" s="740"/>
      <c r="CD130" s="740"/>
      <c r="CE130" s="740"/>
      <c r="CF130" s="740"/>
      <c r="CG130" s="740"/>
      <c r="CH130" s="740"/>
      <c r="CI130" s="740"/>
      <c r="CJ130" s="740"/>
      <c r="CK130" s="740"/>
      <c r="CL130" s="740"/>
      <c r="CM130" s="740"/>
      <c r="CN130" s="740"/>
      <c r="CO130" s="740"/>
      <c r="CP130" s="740"/>
      <c r="CQ130" s="740"/>
      <c r="CR130" s="740"/>
      <c r="CS130" s="740"/>
      <c r="CT130" s="740"/>
      <c r="CU130" s="740"/>
      <c r="CV130" s="740"/>
      <c r="CW130" s="740"/>
      <c r="CX130" s="740"/>
      <c r="CY130" s="740"/>
      <c r="CZ130" s="740"/>
      <c r="DA130" s="740"/>
      <c r="DB130" s="740"/>
      <c r="DC130" s="740"/>
      <c r="DD130" s="740"/>
      <c r="DE130" s="740"/>
      <c r="DF130" s="740"/>
      <c r="DG130" s="740"/>
      <c r="DH130" s="740"/>
      <c r="DI130" s="740"/>
      <c r="DJ130" s="740"/>
      <c r="DK130" s="740"/>
      <c r="DL130" s="740"/>
      <c r="DM130" s="740"/>
      <c r="DN130" s="740"/>
      <c r="DO130" s="740"/>
      <c r="DP130" s="740"/>
      <c r="DQ130" s="740"/>
      <c r="DR130" s="740"/>
      <c r="DS130" s="740"/>
      <c r="DT130" s="740"/>
      <c r="DU130" s="740"/>
      <c r="DV130" s="740"/>
      <c r="DW130" s="740"/>
      <c r="DX130" s="740"/>
      <c r="DY130" s="740"/>
      <c r="DZ130" s="740"/>
      <c r="EA130" s="740"/>
      <c r="EB130" s="740"/>
      <c r="EC130" s="740"/>
      <c r="ED130" s="740"/>
      <c r="EE130" s="740"/>
      <c r="EF130" s="740"/>
      <c r="EG130" s="740"/>
      <c r="EH130" s="740"/>
      <c r="EI130" s="740"/>
      <c r="EJ130" s="740"/>
      <c r="EK130" s="740"/>
      <c r="EL130" s="740"/>
      <c r="EM130" s="740"/>
      <c r="EN130" s="740"/>
      <c r="EO130" s="740"/>
      <c r="EP130" s="740"/>
      <c r="EQ130" s="740"/>
      <c r="ER130" s="740"/>
      <c r="ES130" s="740"/>
      <c r="ET130" s="740"/>
      <c r="EU130" s="740"/>
      <c r="EV130" s="740"/>
      <c r="EW130" s="740"/>
      <c r="EX130" s="740"/>
      <c r="EY130" s="740"/>
      <c r="EZ130" s="740"/>
      <c r="FA130" s="740"/>
      <c r="FB130" s="740"/>
      <c r="FC130" s="740"/>
      <c r="FD130" s="740"/>
      <c r="FE130" s="740"/>
      <c r="FF130" s="740"/>
      <c r="FG130" s="740"/>
      <c r="FH130" s="740"/>
      <c r="FI130" s="740"/>
      <c r="FJ130" s="740"/>
      <c r="FK130" s="740"/>
      <c r="FL130" s="740"/>
      <c r="FM130" s="740"/>
      <c r="FN130" s="740"/>
      <c r="FO130" s="740"/>
      <c r="FP130" s="740"/>
      <c r="FQ130" s="740"/>
      <c r="FR130" s="740"/>
      <c r="FS130" s="740"/>
      <c r="FT130" s="740"/>
      <c r="FU130" s="740"/>
      <c r="FV130" s="740"/>
      <c r="FW130" s="740"/>
      <c r="FX130" s="740"/>
      <c r="FY130" s="740"/>
      <c r="FZ130" s="740"/>
      <c r="GA130" s="740"/>
      <c r="GB130" s="740"/>
      <c r="GC130" s="740"/>
      <c r="GD130" s="740"/>
      <c r="GE130" s="740"/>
      <c r="GF130" s="740"/>
      <c r="GG130" s="740"/>
      <c r="GH130" s="740"/>
      <c r="GI130" s="740"/>
      <c r="GJ130" s="740"/>
      <c r="GK130" s="740"/>
      <c r="GL130" s="740"/>
      <c r="GM130" s="740"/>
      <c r="GN130" s="740"/>
      <c r="GO130" s="740"/>
      <c r="GP130" s="740"/>
      <c r="GQ130" s="740"/>
      <c r="GR130" s="740"/>
      <c r="GS130" s="740"/>
      <c r="GT130" s="740"/>
      <c r="GU130" s="740"/>
      <c r="GV130" s="740"/>
      <c r="GW130" s="740"/>
    </row>
    <row r="131" spans="1:205" ht="20.100000000000001" customHeight="1" x14ac:dyDescent="0.2">
      <c r="A131" s="2503"/>
      <c r="D131" s="1053"/>
      <c r="E131" s="986"/>
      <c r="F131" s="1281" t="s">
        <v>547</v>
      </c>
      <c r="G131" s="1281"/>
      <c r="H131" s="1281"/>
      <c r="I131" s="1281"/>
      <c r="J131" s="1282" t="s">
        <v>525</v>
      </c>
      <c r="K131" s="3995">
        <f>IF(K128&lt;6,K128/12,0.5)</f>
        <v>0.5</v>
      </c>
      <c r="L131" s="3996"/>
      <c r="M131" s="4004">
        <f>IF(M128&lt;6,M128/12,0.5)</f>
        <v>0.5</v>
      </c>
      <c r="N131" s="4005"/>
      <c r="O131" s="4002">
        <f>IF(O128&lt;6,O128/12,0.5)</f>
        <v>0.5</v>
      </c>
      <c r="P131" s="4003"/>
      <c r="Q131"/>
      <c r="R131"/>
      <c r="S131" s="726"/>
      <c r="U131"/>
      <c r="V131"/>
      <c r="W131"/>
      <c r="X131" s="636"/>
      <c r="Y131"/>
      <c r="Z131"/>
      <c r="AA131"/>
      <c r="AB131"/>
      <c r="AC131"/>
      <c r="AU131" s="740"/>
      <c r="AV131" s="740"/>
      <c r="AW131" s="740"/>
      <c r="AX131" s="740"/>
      <c r="AY131" s="740"/>
      <c r="AZ131" s="740"/>
      <c r="BA131" s="740"/>
      <c r="BB131" s="740"/>
      <c r="BC131" s="740"/>
      <c r="BD131" s="740"/>
      <c r="BE131" s="740"/>
      <c r="BF131" s="740"/>
      <c r="BG131" s="740"/>
      <c r="BH131" s="740"/>
      <c r="BI131" s="740"/>
      <c r="BJ131" s="740"/>
      <c r="BK131" s="740"/>
      <c r="BL131" s="740"/>
      <c r="BM131" s="740"/>
      <c r="BN131" s="740"/>
      <c r="BO131" s="740"/>
      <c r="BP131" s="740"/>
      <c r="BQ131" s="740"/>
      <c r="BR131" s="740"/>
      <c r="BS131" s="740"/>
      <c r="BT131" s="740"/>
      <c r="BU131" s="740"/>
      <c r="BV131" s="740"/>
      <c r="BW131" s="740"/>
      <c r="BX131" s="740"/>
      <c r="BY131" s="740"/>
      <c r="BZ131" s="740"/>
      <c r="CA131" s="740"/>
      <c r="CB131" s="740"/>
      <c r="CC131" s="740"/>
      <c r="CD131" s="740"/>
      <c r="CE131" s="740"/>
      <c r="CF131" s="740"/>
      <c r="CG131" s="740"/>
      <c r="CH131" s="740"/>
      <c r="CI131" s="740"/>
      <c r="CJ131" s="740"/>
      <c r="CK131" s="740"/>
      <c r="CL131" s="740"/>
      <c r="CM131" s="740"/>
      <c r="CN131" s="740"/>
      <c r="CO131" s="740"/>
      <c r="CP131" s="740"/>
      <c r="CQ131" s="740"/>
      <c r="CR131" s="740"/>
      <c r="CS131" s="740"/>
      <c r="CT131" s="740"/>
      <c r="CU131" s="740"/>
      <c r="CV131" s="740"/>
      <c r="CW131" s="740"/>
      <c r="CX131" s="740"/>
      <c r="CY131" s="740"/>
      <c r="CZ131" s="740"/>
      <c r="DA131" s="740"/>
      <c r="DB131" s="740"/>
      <c r="DC131" s="740"/>
      <c r="DD131" s="740"/>
      <c r="DE131" s="740"/>
      <c r="DF131" s="740"/>
      <c r="DG131" s="740"/>
      <c r="DH131" s="740"/>
      <c r="DI131" s="740"/>
      <c r="DJ131" s="740"/>
      <c r="DK131" s="740"/>
      <c r="DL131" s="740"/>
      <c r="DM131" s="740"/>
      <c r="DN131" s="740"/>
      <c r="DO131" s="740"/>
      <c r="DP131" s="740"/>
      <c r="DQ131" s="740"/>
      <c r="DR131" s="740"/>
      <c r="DS131" s="740"/>
      <c r="DT131" s="740"/>
      <c r="DU131" s="740"/>
      <c r="DV131" s="740"/>
      <c r="DW131" s="740"/>
      <c r="DX131" s="740"/>
      <c r="DY131" s="740"/>
      <c r="DZ131" s="740"/>
      <c r="EA131" s="740"/>
      <c r="EB131" s="740"/>
      <c r="EC131" s="740"/>
      <c r="ED131" s="740"/>
      <c r="EE131" s="740"/>
      <c r="EF131" s="740"/>
      <c r="EG131" s="740"/>
      <c r="EH131" s="740"/>
      <c r="EI131" s="740"/>
      <c r="EJ131" s="740"/>
      <c r="EK131" s="740"/>
      <c r="EL131" s="740"/>
      <c r="EM131" s="740"/>
      <c r="EN131" s="740"/>
      <c r="EO131" s="740"/>
      <c r="EP131" s="740"/>
      <c r="EQ131" s="740"/>
      <c r="ER131" s="740"/>
      <c r="ES131" s="740"/>
      <c r="ET131" s="740"/>
      <c r="EU131" s="740"/>
      <c r="EV131" s="740"/>
      <c r="EW131" s="740"/>
      <c r="EX131" s="740"/>
      <c r="EY131" s="740"/>
      <c r="EZ131" s="740"/>
      <c r="FA131" s="740"/>
      <c r="FB131" s="740"/>
      <c r="FC131" s="740"/>
      <c r="FD131" s="740"/>
      <c r="FE131" s="740"/>
      <c r="FF131" s="740"/>
      <c r="FG131" s="740"/>
      <c r="FH131" s="740"/>
      <c r="FI131" s="740"/>
      <c r="FJ131" s="740"/>
      <c r="FK131" s="740"/>
      <c r="FL131" s="740"/>
      <c r="FM131" s="740"/>
      <c r="FN131" s="740"/>
      <c r="FO131" s="740"/>
      <c r="FP131" s="740"/>
      <c r="FQ131" s="740"/>
      <c r="FR131" s="740"/>
      <c r="FS131" s="740"/>
      <c r="FT131" s="740"/>
      <c r="FU131" s="740"/>
      <c r="FV131" s="740"/>
      <c r="FW131" s="740"/>
      <c r="FX131" s="740"/>
      <c r="FY131" s="740"/>
      <c r="FZ131" s="740"/>
      <c r="GA131" s="740"/>
      <c r="GB131" s="740"/>
      <c r="GC131" s="740"/>
      <c r="GD131" s="740"/>
      <c r="GE131" s="740"/>
      <c r="GF131" s="740"/>
      <c r="GG131" s="740"/>
      <c r="GH131" s="740"/>
      <c r="GI131" s="740"/>
      <c r="GJ131" s="740"/>
      <c r="GK131" s="740"/>
      <c r="GL131" s="740"/>
      <c r="GM131" s="740"/>
      <c r="GN131" s="740"/>
      <c r="GO131" s="740"/>
      <c r="GP131" s="740"/>
      <c r="GQ131" s="740"/>
      <c r="GR131" s="740"/>
      <c r="GS131" s="740"/>
      <c r="GT131" s="740"/>
      <c r="GU131" s="740"/>
      <c r="GV131" s="740"/>
      <c r="GW131" s="740"/>
    </row>
    <row r="132" spans="1:205" ht="20.100000000000001" customHeight="1" x14ac:dyDescent="0.2">
      <c r="A132" s="2503"/>
      <c r="D132" s="1053"/>
      <c r="E132" s="986"/>
      <c r="F132" s="1281" t="s">
        <v>548</v>
      </c>
      <c r="G132" s="1281"/>
      <c r="H132" s="1281"/>
      <c r="I132" s="1281"/>
      <c r="J132" s="1281"/>
      <c r="K132" s="3995">
        <f>IF(K128&lt;12,(K128-6)/12,0.5)</f>
        <v>0.5</v>
      </c>
      <c r="L132" s="3996"/>
      <c r="M132" s="4004">
        <f>IF(M128&lt;12,(M128-6)/12,0.5)</f>
        <v>0.5</v>
      </c>
      <c r="N132" s="4005"/>
      <c r="O132" s="4002">
        <f>IF(O128&lt;12,(O128-6)/12,0.5)</f>
        <v>0.5</v>
      </c>
      <c r="P132" s="4003"/>
      <c r="Q132"/>
      <c r="R132"/>
      <c r="S132" s="726"/>
      <c r="U132"/>
      <c r="V132"/>
      <c r="W132"/>
      <c r="X132"/>
      <c r="Y132"/>
      <c r="Z132"/>
      <c r="AA132"/>
      <c r="AB132"/>
      <c r="AC132"/>
      <c r="AU132" s="740"/>
      <c r="AV132" s="740"/>
      <c r="AW132" s="740"/>
      <c r="AX132" s="740"/>
      <c r="AY132" s="740"/>
      <c r="AZ132" s="740"/>
      <c r="BA132" s="740"/>
      <c r="BB132" s="740"/>
      <c r="BC132" s="740"/>
      <c r="BD132" s="740"/>
      <c r="BE132" s="740"/>
      <c r="BF132" s="740"/>
      <c r="BG132" s="740"/>
      <c r="BH132" s="740"/>
      <c r="BI132" s="740"/>
      <c r="BJ132" s="740"/>
      <c r="BK132" s="740"/>
      <c r="BL132" s="740"/>
      <c r="BM132" s="740"/>
      <c r="BN132" s="740"/>
      <c r="BO132" s="740"/>
      <c r="BP132" s="740"/>
      <c r="BQ132" s="740"/>
      <c r="BR132" s="740"/>
      <c r="BS132" s="740"/>
      <c r="BT132" s="740"/>
      <c r="BU132" s="740"/>
      <c r="BV132" s="740"/>
      <c r="BW132" s="740"/>
      <c r="BX132" s="740"/>
      <c r="BY132" s="740"/>
      <c r="BZ132" s="740"/>
      <c r="CA132" s="740"/>
      <c r="CB132" s="740"/>
      <c r="CC132" s="740"/>
      <c r="CD132" s="740"/>
      <c r="CE132" s="740"/>
      <c r="CF132" s="740"/>
      <c r="CG132" s="740"/>
      <c r="CH132" s="740"/>
      <c r="CI132" s="740"/>
      <c r="CJ132" s="740"/>
      <c r="CK132" s="740"/>
      <c r="CL132" s="740"/>
      <c r="CM132" s="740"/>
      <c r="CN132" s="740"/>
      <c r="CO132" s="740"/>
      <c r="CP132" s="740"/>
      <c r="CQ132" s="740"/>
      <c r="CR132" s="740"/>
      <c r="CS132" s="740"/>
      <c r="CT132" s="740"/>
      <c r="CU132" s="740"/>
      <c r="CV132" s="740"/>
      <c r="CW132" s="740"/>
      <c r="CX132" s="740"/>
      <c r="CY132" s="740"/>
      <c r="CZ132" s="740"/>
      <c r="DA132" s="740"/>
      <c r="DB132" s="740"/>
      <c r="DC132" s="740"/>
      <c r="DD132" s="740"/>
      <c r="DE132" s="740"/>
      <c r="DF132" s="740"/>
      <c r="DG132" s="740"/>
      <c r="DH132" s="740"/>
      <c r="DI132" s="740"/>
      <c r="DJ132" s="740"/>
      <c r="DK132" s="740"/>
      <c r="DL132" s="740"/>
      <c r="DM132" s="740"/>
      <c r="DN132" s="740"/>
      <c r="DO132" s="740"/>
      <c r="DP132" s="740"/>
      <c r="DQ132" s="740"/>
      <c r="DR132" s="740"/>
      <c r="DS132" s="740"/>
      <c r="DT132" s="740"/>
      <c r="DU132" s="740"/>
      <c r="DV132" s="740"/>
      <c r="DW132" s="740"/>
      <c r="DX132" s="740"/>
      <c r="DY132" s="740"/>
      <c r="DZ132" s="740"/>
      <c r="EA132" s="740"/>
      <c r="EB132" s="740"/>
      <c r="EC132" s="740"/>
      <c r="ED132" s="740"/>
      <c r="EE132" s="740"/>
      <c r="EF132" s="740"/>
      <c r="EG132" s="740"/>
      <c r="EH132" s="740"/>
      <c r="EI132" s="740"/>
      <c r="EJ132" s="740"/>
      <c r="EK132" s="740"/>
      <c r="EL132" s="740"/>
      <c r="EM132" s="740"/>
      <c r="EN132" s="740"/>
      <c r="EO132" s="740"/>
      <c r="EP132" s="740"/>
      <c r="EQ132" s="740"/>
      <c r="ER132" s="740"/>
      <c r="ES132" s="740"/>
      <c r="ET132" s="740"/>
      <c r="EU132" s="740"/>
      <c r="EV132" s="740"/>
      <c r="EW132" s="740"/>
      <c r="EX132" s="740"/>
      <c r="EY132" s="740"/>
      <c r="EZ132" s="740"/>
      <c r="FA132" s="740"/>
      <c r="FB132" s="740"/>
      <c r="FC132" s="740"/>
      <c r="FD132" s="740"/>
      <c r="FE132" s="740"/>
      <c r="FF132" s="740"/>
      <c r="FG132" s="740"/>
      <c r="FH132" s="740"/>
      <c r="FI132" s="740"/>
      <c r="FJ132" s="740"/>
      <c r="FK132" s="740"/>
      <c r="FL132" s="740"/>
      <c r="FM132" s="740"/>
      <c r="FN132" s="740"/>
      <c r="FO132" s="740"/>
      <c r="FP132" s="740"/>
      <c r="FQ132" s="740"/>
      <c r="FR132" s="740"/>
      <c r="FS132" s="740"/>
      <c r="FT132" s="740"/>
      <c r="FU132" s="740"/>
      <c r="FV132" s="740"/>
      <c r="FW132" s="740"/>
      <c r="FX132" s="740"/>
      <c r="FY132" s="740"/>
      <c r="FZ132" s="740"/>
      <c r="GA132" s="740"/>
      <c r="GB132" s="740"/>
      <c r="GC132" s="740"/>
      <c r="GD132" s="740"/>
      <c r="GE132" s="740"/>
      <c r="GF132" s="740"/>
      <c r="GG132" s="740"/>
      <c r="GH132" s="740"/>
      <c r="GI132" s="740"/>
      <c r="GJ132" s="740"/>
      <c r="GK132" s="740"/>
      <c r="GL132" s="740"/>
      <c r="GM132" s="740"/>
      <c r="GN132" s="740"/>
      <c r="GO132" s="740"/>
      <c r="GP132" s="740"/>
      <c r="GQ132" s="740"/>
      <c r="GR132" s="740"/>
      <c r="GS132" s="740"/>
      <c r="GT132" s="740"/>
      <c r="GU132" s="740"/>
      <c r="GV132" s="740"/>
      <c r="GW132" s="740"/>
    </row>
    <row r="133" spans="1:205" ht="20.100000000000001" customHeight="1" x14ac:dyDescent="0.2">
      <c r="A133" s="2503"/>
      <c r="D133" s="1053"/>
      <c r="E133" s="986"/>
      <c r="F133" s="1281" t="s">
        <v>549</v>
      </c>
      <c r="G133" s="1281"/>
      <c r="H133" s="1281"/>
      <c r="I133" s="1281"/>
      <c r="J133" s="1281"/>
      <c r="K133" s="3995">
        <f>IF(K128&gt;25,1,(K128-12)/12)</f>
        <v>1</v>
      </c>
      <c r="L133" s="3996"/>
      <c r="M133" s="4004">
        <f>IF(M128&gt;25,1,(M128-12)/12)</f>
        <v>1</v>
      </c>
      <c r="N133" s="4005"/>
      <c r="O133" s="4002">
        <f>IF(O128&gt;25,1,(O128-12)/12)</f>
        <v>1</v>
      </c>
      <c r="P133" s="4003"/>
      <c r="Q133"/>
      <c r="R133"/>
      <c r="S133" s="726"/>
      <c r="U133"/>
      <c r="V133"/>
      <c r="W133"/>
      <c r="X133"/>
      <c r="Y133"/>
      <c r="Z133"/>
      <c r="AA133"/>
      <c r="AB133"/>
      <c r="AC133"/>
      <c r="AU133" s="740"/>
      <c r="AV133" s="740"/>
      <c r="AW133" s="740"/>
      <c r="AX133" s="740"/>
      <c r="AY133" s="740"/>
      <c r="AZ133" s="740"/>
      <c r="BA133" s="740"/>
      <c r="BB133" s="740"/>
      <c r="BC133" s="740"/>
      <c r="BD133" s="740"/>
      <c r="BE133" s="740"/>
      <c r="BF133" s="740"/>
      <c r="BG133" s="740"/>
      <c r="BH133" s="740"/>
      <c r="BI133" s="740"/>
      <c r="BJ133" s="740"/>
      <c r="BK133" s="740"/>
      <c r="BL133" s="740"/>
      <c r="BM133" s="740"/>
      <c r="BN133" s="740"/>
      <c r="BO133" s="740"/>
      <c r="BP133" s="740"/>
      <c r="BQ133" s="740"/>
      <c r="BR133" s="740"/>
      <c r="BS133" s="740"/>
      <c r="BT133" s="740"/>
      <c r="BU133" s="740"/>
      <c r="BV133" s="740"/>
      <c r="BW133" s="740"/>
      <c r="BX133" s="740"/>
      <c r="BY133" s="740"/>
      <c r="BZ133" s="740"/>
      <c r="CA133" s="740"/>
      <c r="CB133" s="740"/>
      <c r="CC133" s="740"/>
      <c r="CD133" s="740"/>
      <c r="CE133" s="740"/>
      <c r="CF133" s="740"/>
      <c r="CG133" s="740"/>
      <c r="CH133" s="740"/>
      <c r="CI133" s="740"/>
      <c r="CJ133" s="740"/>
      <c r="CK133" s="740"/>
      <c r="CL133" s="740"/>
      <c r="CM133" s="740"/>
      <c r="CN133" s="740"/>
      <c r="CO133" s="740"/>
      <c r="CP133" s="740"/>
      <c r="CQ133" s="740"/>
      <c r="CR133" s="740"/>
      <c r="CS133" s="740"/>
      <c r="CT133" s="740"/>
      <c r="CU133" s="740"/>
      <c r="CV133" s="740"/>
      <c r="CW133" s="740"/>
      <c r="CX133" s="740"/>
      <c r="CY133" s="740"/>
      <c r="CZ133" s="740"/>
      <c r="DA133" s="740"/>
      <c r="DB133" s="740"/>
      <c r="DC133" s="740"/>
      <c r="DD133" s="740"/>
      <c r="DE133" s="740"/>
      <c r="DF133" s="740"/>
      <c r="DG133" s="740"/>
      <c r="DH133" s="740"/>
      <c r="DI133" s="740"/>
      <c r="DJ133" s="740"/>
      <c r="DK133" s="740"/>
      <c r="DL133" s="740"/>
      <c r="DM133" s="740"/>
      <c r="DN133" s="740"/>
      <c r="DO133" s="740"/>
      <c r="DP133" s="740"/>
      <c r="DQ133" s="740"/>
      <c r="DR133" s="740"/>
      <c r="DS133" s="740"/>
      <c r="DT133" s="740"/>
      <c r="DU133" s="740"/>
      <c r="DV133" s="740"/>
      <c r="DW133" s="740"/>
      <c r="DX133" s="740"/>
      <c r="DY133" s="740"/>
      <c r="DZ133" s="740"/>
      <c r="EA133" s="740"/>
      <c r="EB133" s="740"/>
      <c r="EC133" s="740"/>
      <c r="ED133" s="740"/>
      <c r="EE133" s="740"/>
      <c r="EF133" s="740"/>
      <c r="EG133" s="740"/>
      <c r="EH133" s="740"/>
      <c r="EI133" s="740"/>
      <c r="EJ133" s="740"/>
      <c r="EK133" s="740"/>
      <c r="EL133" s="740"/>
      <c r="EM133" s="740"/>
      <c r="EN133" s="740"/>
      <c r="EO133" s="740"/>
      <c r="EP133" s="740"/>
      <c r="EQ133" s="740"/>
      <c r="ER133" s="740"/>
      <c r="ES133" s="740"/>
      <c r="ET133" s="740"/>
      <c r="EU133" s="740"/>
      <c r="EV133" s="740"/>
      <c r="EW133" s="740"/>
      <c r="EX133" s="740"/>
      <c r="EY133" s="740"/>
      <c r="EZ133" s="740"/>
      <c r="FA133" s="740"/>
      <c r="FB133" s="740"/>
      <c r="FC133" s="740"/>
      <c r="FD133" s="740"/>
      <c r="FE133" s="740"/>
      <c r="FF133" s="740"/>
      <c r="FG133" s="740"/>
      <c r="FH133" s="740"/>
      <c r="FI133" s="740"/>
      <c r="FJ133" s="740"/>
      <c r="FK133" s="740"/>
      <c r="FL133" s="740"/>
      <c r="FM133" s="740"/>
      <c r="FN133" s="740"/>
      <c r="FO133" s="740"/>
      <c r="FP133" s="740"/>
      <c r="FQ133" s="740"/>
      <c r="FR133" s="740"/>
      <c r="FS133" s="740"/>
      <c r="FT133" s="740"/>
      <c r="FU133" s="740"/>
      <c r="FV133" s="740"/>
      <c r="FW133" s="740"/>
      <c r="FX133" s="740"/>
      <c r="FY133" s="740"/>
      <c r="FZ133" s="740"/>
      <c r="GA133" s="740"/>
      <c r="GB133" s="740"/>
      <c r="GC133" s="740"/>
      <c r="GD133" s="740"/>
      <c r="GE133" s="740"/>
      <c r="GF133" s="740"/>
      <c r="GG133" s="740"/>
      <c r="GH133" s="740"/>
      <c r="GI133" s="740"/>
      <c r="GJ133" s="740"/>
      <c r="GK133" s="740"/>
      <c r="GL133" s="740"/>
      <c r="GM133" s="740"/>
      <c r="GN133" s="740"/>
      <c r="GO133" s="740"/>
      <c r="GP133" s="740"/>
      <c r="GQ133" s="740"/>
      <c r="GR133" s="740"/>
      <c r="GS133" s="740"/>
      <c r="GT133" s="740"/>
      <c r="GU133" s="740"/>
      <c r="GV133" s="740"/>
      <c r="GW133" s="740"/>
    </row>
    <row r="134" spans="1:205" ht="20.100000000000001" customHeight="1" x14ac:dyDescent="0.2">
      <c r="A134" s="2503"/>
      <c r="D134" s="1053"/>
      <c r="E134" s="986"/>
      <c r="F134" s="1281" t="s">
        <v>550</v>
      </c>
      <c r="G134" s="1281"/>
      <c r="H134" s="1281"/>
      <c r="I134" s="1281"/>
      <c r="J134" s="1281"/>
      <c r="K134" s="3997">
        <f>IF(K128&lt;24,0,(K128-24)/12)</f>
        <v>0.5</v>
      </c>
      <c r="L134" s="3998"/>
      <c r="M134" s="4010">
        <f>IF(M128&lt;24,0,(M128-24)/12)</f>
        <v>0.33333333333333331</v>
      </c>
      <c r="N134" s="4011"/>
      <c r="O134" s="4006">
        <f>IF(O128&lt;24,0,(O128-24)/12)</f>
        <v>0.16666666666666666</v>
      </c>
      <c r="P134" s="4007"/>
      <c r="Q134"/>
      <c r="R134"/>
      <c r="S134" s="726"/>
      <c r="U134"/>
      <c r="V134"/>
      <c r="W134"/>
      <c r="X134"/>
      <c r="Y134"/>
      <c r="Z134"/>
      <c r="AA134"/>
      <c r="AB134"/>
      <c r="AC134"/>
      <c r="AU134" s="740"/>
      <c r="AV134" s="740"/>
      <c r="AW134" s="740"/>
      <c r="AX134" s="740"/>
      <c r="AY134" s="740"/>
      <c r="AZ134" s="740"/>
      <c r="BA134" s="740"/>
      <c r="BB134" s="740"/>
      <c r="BC134" s="740"/>
      <c r="BD134" s="740"/>
      <c r="BE134" s="740"/>
      <c r="BF134" s="740"/>
      <c r="BG134" s="740"/>
      <c r="BH134" s="740"/>
      <c r="BI134" s="740"/>
      <c r="BJ134" s="740"/>
      <c r="BK134" s="740"/>
      <c r="BL134" s="740"/>
      <c r="BM134" s="740"/>
      <c r="BN134" s="740"/>
      <c r="BO134" s="740"/>
      <c r="BP134" s="740"/>
      <c r="BQ134" s="740"/>
      <c r="BR134" s="740"/>
      <c r="BS134" s="740"/>
      <c r="BT134" s="740"/>
      <c r="BU134" s="740"/>
      <c r="BV134" s="740"/>
      <c r="BW134" s="740"/>
      <c r="BX134" s="740"/>
      <c r="BY134" s="740"/>
      <c r="BZ134" s="740"/>
      <c r="CA134" s="740"/>
      <c r="CB134" s="740"/>
      <c r="CC134" s="740"/>
      <c r="CD134" s="740"/>
      <c r="CE134" s="740"/>
      <c r="CF134" s="740"/>
      <c r="CG134" s="740"/>
      <c r="CH134" s="740"/>
      <c r="CI134" s="740"/>
      <c r="CJ134" s="740"/>
      <c r="CK134" s="740"/>
      <c r="CL134" s="740"/>
      <c r="CM134" s="740"/>
      <c r="CN134" s="740"/>
      <c r="CO134" s="740"/>
      <c r="CP134" s="740"/>
      <c r="CQ134" s="740"/>
      <c r="CR134" s="740"/>
      <c r="CS134" s="740"/>
      <c r="CT134" s="740"/>
      <c r="CU134" s="740"/>
      <c r="CV134" s="740"/>
      <c r="CW134" s="740"/>
      <c r="CX134" s="740"/>
      <c r="CY134" s="740"/>
      <c r="CZ134" s="740"/>
      <c r="DA134" s="740"/>
      <c r="DB134" s="740"/>
      <c r="DC134" s="740"/>
      <c r="DD134" s="740"/>
      <c r="DE134" s="740"/>
      <c r="DF134" s="740"/>
      <c r="DG134" s="740"/>
      <c r="DH134" s="740"/>
      <c r="DI134" s="740"/>
      <c r="DJ134" s="740"/>
      <c r="DK134" s="740"/>
      <c r="DL134" s="740"/>
      <c r="DM134" s="740"/>
      <c r="DN134" s="740"/>
      <c r="DO134" s="740"/>
      <c r="DP134" s="740"/>
      <c r="DQ134" s="740"/>
      <c r="DR134" s="740"/>
      <c r="DS134" s="740"/>
      <c r="DT134" s="740"/>
      <c r="DU134" s="740"/>
      <c r="DV134" s="740"/>
      <c r="DW134" s="740"/>
      <c r="DX134" s="740"/>
      <c r="DY134" s="740"/>
      <c r="DZ134" s="740"/>
      <c r="EA134" s="740"/>
      <c r="EB134" s="740"/>
      <c r="EC134" s="740"/>
      <c r="ED134" s="740"/>
      <c r="EE134" s="740"/>
      <c r="EF134" s="740"/>
      <c r="EG134" s="740"/>
      <c r="EH134" s="740"/>
      <c r="EI134" s="740"/>
      <c r="EJ134" s="740"/>
      <c r="EK134" s="740"/>
      <c r="EL134" s="740"/>
      <c r="EM134" s="740"/>
      <c r="EN134" s="740"/>
      <c r="EO134" s="740"/>
      <c r="EP134" s="740"/>
      <c r="EQ134" s="740"/>
      <c r="ER134" s="740"/>
      <c r="ES134" s="740"/>
      <c r="ET134" s="740"/>
      <c r="EU134" s="740"/>
      <c r="EV134" s="740"/>
      <c r="EW134" s="740"/>
      <c r="EX134" s="740"/>
      <c r="EY134" s="740"/>
      <c r="EZ134" s="740"/>
      <c r="FA134" s="740"/>
      <c r="FB134" s="740"/>
      <c r="FC134" s="740"/>
      <c r="FD134" s="740"/>
      <c r="FE134" s="740"/>
      <c r="FF134" s="740"/>
      <c r="FG134" s="740"/>
      <c r="FH134" s="740"/>
      <c r="FI134" s="740"/>
      <c r="FJ134" s="740"/>
      <c r="FK134" s="740"/>
      <c r="FL134" s="740"/>
      <c r="FM134" s="740"/>
      <c r="FN134" s="740"/>
      <c r="FO134" s="740"/>
      <c r="FP134" s="740"/>
      <c r="FQ134" s="740"/>
      <c r="FR134" s="740"/>
      <c r="FS134" s="740"/>
      <c r="FT134" s="740"/>
      <c r="FU134" s="740"/>
      <c r="FV134" s="740"/>
      <c r="FW134" s="740"/>
      <c r="FX134" s="740"/>
      <c r="FY134" s="740"/>
      <c r="FZ134" s="740"/>
      <c r="GA134" s="740"/>
      <c r="GB134" s="740"/>
      <c r="GC134" s="740"/>
      <c r="GD134" s="740"/>
      <c r="GE134" s="740"/>
      <c r="GF134" s="740"/>
      <c r="GG134" s="740"/>
      <c r="GH134" s="740"/>
      <c r="GI134" s="740"/>
      <c r="GJ134" s="740"/>
      <c r="GK134" s="740"/>
      <c r="GL134" s="740"/>
      <c r="GM134" s="740"/>
      <c r="GN134" s="740"/>
      <c r="GO134" s="740"/>
      <c r="GP134" s="740"/>
      <c r="GQ134" s="740"/>
      <c r="GR134" s="740"/>
      <c r="GS134" s="740"/>
      <c r="GT134" s="740"/>
      <c r="GU134" s="740"/>
      <c r="GV134" s="740"/>
      <c r="GW134" s="740"/>
    </row>
    <row r="135" spans="1:205" ht="31.9" customHeight="1" x14ac:dyDescent="0.2">
      <c r="A135" s="2503"/>
      <c r="D135" s="1053"/>
      <c r="E135" s="2822" t="s">
        <v>703</v>
      </c>
      <c r="F135" s="1062"/>
      <c r="G135" s="2823"/>
      <c r="H135" s="1074"/>
      <c r="I135" s="1074"/>
      <c r="J135" s="1075"/>
      <c r="K135" s="4012">
        <f>SUM(K131:K134)</f>
        <v>2.5</v>
      </c>
      <c r="L135" s="4013"/>
      <c r="M135" s="4025">
        <f>SUM(M131:M134)</f>
        <v>2.3333333333333335</v>
      </c>
      <c r="N135" s="4026"/>
      <c r="O135" s="4008">
        <f>SUM(O131:O134)</f>
        <v>2.1666666666666665</v>
      </c>
      <c r="P135" s="4009"/>
      <c r="Q135"/>
      <c r="R135"/>
      <c r="S135" s="726"/>
      <c r="U135"/>
      <c r="V135"/>
      <c r="W135"/>
      <c r="X135"/>
      <c r="Y135"/>
      <c r="Z135"/>
      <c r="AA135"/>
      <c r="AB135"/>
      <c r="AC135"/>
      <c r="AU135" s="740"/>
      <c r="AV135" s="740"/>
      <c r="AW135" s="740"/>
      <c r="AX135" s="740"/>
      <c r="AY135" s="740"/>
      <c r="AZ135" s="740"/>
      <c r="BA135" s="740"/>
      <c r="BB135" s="740"/>
      <c r="BC135" s="740"/>
      <c r="BD135" s="740"/>
      <c r="BE135" s="740"/>
      <c r="BF135" s="740"/>
      <c r="BG135" s="740"/>
      <c r="BH135" s="740"/>
      <c r="BI135" s="740"/>
      <c r="BJ135" s="740"/>
      <c r="BK135" s="740"/>
      <c r="BL135" s="740"/>
      <c r="BM135" s="740"/>
      <c r="BN135" s="740"/>
      <c r="BO135" s="740"/>
      <c r="BP135" s="740"/>
      <c r="BQ135" s="740"/>
      <c r="BR135" s="740"/>
      <c r="BS135" s="740"/>
      <c r="BT135" s="740"/>
      <c r="BU135" s="740"/>
      <c r="BV135" s="740"/>
      <c r="BW135" s="740"/>
      <c r="BX135" s="740"/>
      <c r="BY135" s="740"/>
      <c r="BZ135" s="740"/>
      <c r="CA135" s="740"/>
      <c r="CB135" s="740"/>
      <c r="CC135" s="740"/>
      <c r="CD135" s="740"/>
      <c r="CE135" s="740"/>
      <c r="CF135" s="740"/>
      <c r="CG135" s="740"/>
      <c r="CH135" s="740"/>
      <c r="CI135" s="740"/>
      <c r="CJ135" s="740"/>
      <c r="CK135" s="740"/>
      <c r="CL135" s="740"/>
      <c r="CM135" s="740"/>
      <c r="CN135" s="740"/>
      <c r="CO135" s="740"/>
      <c r="CP135" s="740"/>
      <c r="CQ135" s="740"/>
      <c r="CR135" s="740"/>
      <c r="CS135" s="740"/>
      <c r="CT135" s="740"/>
      <c r="CU135" s="740"/>
      <c r="CV135" s="740"/>
      <c r="CW135" s="740"/>
      <c r="CX135" s="740"/>
      <c r="CY135" s="740"/>
      <c r="CZ135" s="740"/>
      <c r="DA135" s="740"/>
      <c r="DB135" s="740"/>
      <c r="DC135" s="740"/>
      <c r="DD135" s="740"/>
      <c r="DE135" s="740"/>
      <c r="DF135" s="740"/>
      <c r="DG135" s="740"/>
      <c r="DH135" s="740"/>
      <c r="DI135" s="740"/>
      <c r="DJ135" s="740"/>
      <c r="DK135" s="740"/>
      <c r="DL135" s="740"/>
      <c r="DM135" s="740"/>
      <c r="DN135" s="740"/>
      <c r="DO135" s="740"/>
      <c r="DP135" s="740"/>
      <c r="DQ135" s="740"/>
      <c r="DR135" s="740"/>
      <c r="DS135" s="740"/>
      <c r="DT135" s="740"/>
      <c r="DU135" s="740"/>
      <c r="DV135" s="740"/>
      <c r="DW135" s="740"/>
      <c r="DX135" s="740"/>
      <c r="DY135" s="740"/>
      <c r="DZ135" s="740"/>
      <c r="EA135" s="740"/>
      <c r="EB135" s="740"/>
      <c r="EC135" s="740"/>
      <c r="ED135" s="740"/>
      <c r="EE135" s="740"/>
      <c r="EF135" s="740"/>
      <c r="EG135" s="740"/>
      <c r="EH135" s="740"/>
      <c r="EI135" s="740"/>
      <c r="EJ135" s="740"/>
      <c r="EK135" s="740"/>
      <c r="EL135" s="740"/>
      <c r="EM135" s="740"/>
      <c r="EN135" s="740"/>
      <c r="EO135" s="740"/>
      <c r="EP135" s="740"/>
      <c r="EQ135" s="740"/>
      <c r="ER135" s="740"/>
      <c r="ES135" s="740"/>
      <c r="ET135" s="740"/>
      <c r="EU135" s="740"/>
      <c r="EV135" s="740"/>
      <c r="EW135" s="740"/>
      <c r="EX135" s="740"/>
      <c r="EY135" s="740"/>
      <c r="EZ135" s="740"/>
      <c r="FA135" s="740"/>
      <c r="FB135" s="740"/>
      <c r="FC135" s="740"/>
      <c r="FD135" s="740"/>
      <c r="FE135" s="740"/>
      <c r="FF135" s="740"/>
      <c r="FG135" s="740"/>
      <c r="FH135" s="740"/>
      <c r="FI135" s="740"/>
      <c r="FJ135" s="740"/>
      <c r="FK135" s="740"/>
      <c r="FL135" s="740"/>
      <c r="FM135" s="740"/>
      <c r="FN135" s="740"/>
      <c r="FO135" s="740"/>
      <c r="FP135" s="740"/>
      <c r="FQ135" s="740"/>
      <c r="FR135" s="740"/>
      <c r="FS135" s="740"/>
      <c r="FT135" s="740"/>
      <c r="FU135" s="740"/>
      <c r="FV135" s="740"/>
      <c r="FW135" s="740"/>
      <c r="FX135" s="740"/>
      <c r="FY135" s="740"/>
      <c r="FZ135" s="740"/>
      <c r="GA135" s="740"/>
      <c r="GB135" s="740"/>
      <c r="GC135" s="740"/>
      <c r="GD135" s="740"/>
      <c r="GE135" s="740"/>
      <c r="GF135" s="740"/>
      <c r="GG135" s="740"/>
      <c r="GH135" s="740"/>
      <c r="GI135" s="740"/>
      <c r="GJ135" s="740"/>
      <c r="GK135" s="740"/>
      <c r="GL135" s="740"/>
      <c r="GM135" s="740"/>
      <c r="GN135" s="740"/>
      <c r="GO135" s="740"/>
      <c r="GP135" s="740"/>
      <c r="GQ135" s="740"/>
      <c r="GR135" s="740"/>
      <c r="GS135" s="740"/>
      <c r="GT135" s="740"/>
      <c r="GU135" s="740"/>
      <c r="GV135" s="740"/>
      <c r="GW135" s="740"/>
    </row>
    <row r="136" spans="1:205" ht="24" customHeight="1" x14ac:dyDescent="0.2">
      <c r="A136" s="2503"/>
      <c r="D136" s="726"/>
      <c r="E136" s="726"/>
      <c r="F136" s="726"/>
      <c r="G136" s="726"/>
      <c r="H136" s="726"/>
      <c r="I136" s="726"/>
      <c r="J136" s="982"/>
      <c r="K136" s="983"/>
      <c r="L136" s="982"/>
      <c r="M136" s="983"/>
      <c r="N136" s="982"/>
      <c r="O136" s="983"/>
      <c r="P136" s="982"/>
      <c r="Q136" s="983"/>
      <c r="R136" s="1052"/>
      <c r="S136" s="1052"/>
      <c r="U136"/>
      <c r="V136"/>
      <c r="W136"/>
      <c r="X136"/>
      <c r="Y136"/>
      <c r="Z136"/>
      <c r="AA136"/>
      <c r="AB136"/>
      <c r="AC136"/>
      <c r="AU136" s="740"/>
      <c r="AV136" s="740"/>
      <c r="AW136" s="740"/>
      <c r="AX136" s="740"/>
      <c r="AY136" s="740"/>
      <c r="AZ136" s="740"/>
      <c r="BA136" s="740"/>
      <c r="BB136" s="740"/>
      <c r="BC136" s="740"/>
      <c r="BD136" s="740"/>
      <c r="BE136" s="740"/>
      <c r="BF136" s="740"/>
      <c r="BG136" s="740"/>
      <c r="BH136" s="740"/>
      <c r="BI136" s="740"/>
      <c r="BJ136" s="740"/>
      <c r="BK136" s="740"/>
      <c r="BL136" s="740"/>
      <c r="BM136" s="740"/>
      <c r="BN136" s="740"/>
      <c r="BO136" s="740"/>
      <c r="BP136" s="740"/>
      <c r="BQ136" s="740"/>
      <c r="BR136" s="740"/>
      <c r="BS136" s="740"/>
      <c r="BT136" s="740"/>
      <c r="BU136" s="740"/>
      <c r="BV136" s="740"/>
      <c r="BW136" s="740"/>
      <c r="BX136" s="740"/>
      <c r="BY136" s="740"/>
      <c r="BZ136" s="740"/>
      <c r="CA136" s="740"/>
      <c r="CB136" s="740"/>
      <c r="CC136" s="740"/>
      <c r="CD136" s="740"/>
      <c r="CE136" s="740"/>
      <c r="CF136" s="740"/>
      <c r="CG136" s="740"/>
      <c r="CH136" s="740"/>
      <c r="CI136" s="740"/>
      <c r="CJ136" s="740"/>
      <c r="CK136" s="740"/>
      <c r="CL136" s="740"/>
      <c r="CM136" s="740"/>
      <c r="CN136" s="740"/>
      <c r="CO136" s="740"/>
      <c r="CP136" s="740"/>
      <c r="CQ136" s="740"/>
      <c r="CR136" s="740"/>
      <c r="CS136" s="740"/>
      <c r="CT136" s="740"/>
      <c r="CU136" s="740"/>
      <c r="CV136" s="740"/>
      <c r="CW136" s="740"/>
      <c r="CX136" s="740"/>
      <c r="CY136" s="740"/>
      <c r="CZ136" s="740"/>
      <c r="DA136" s="740"/>
      <c r="DB136" s="740"/>
      <c r="DC136" s="740"/>
      <c r="DD136" s="740"/>
      <c r="DE136" s="740"/>
      <c r="DF136" s="740"/>
      <c r="DG136" s="740"/>
      <c r="DH136" s="740"/>
      <c r="DI136" s="740"/>
      <c r="DJ136" s="740"/>
      <c r="DK136" s="740"/>
      <c r="DL136" s="740"/>
      <c r="DM136" s="740"/>
      <c r="DN136" s="740"/>
      <c r="DO136" s="740"/>
      <c r="DP136" s="740"/>
      <c r="DQ136" s="740"/>
      <c r="DR136" s="740"/>
      <c r="DS136" s="740"/>
      <c r="DT136" s="740"/>
      <c r="DU136" s="740"/>
      <c r="DV136" s="740"/>
      <c r="DW136" s="740"/>
      <c r="DX136" s="740"/>
      <c r="DY136" s="740"/>
      <c r="DZ136" s="740"/>
      <c r="EA136" s="740"/>
      <c r="EB136" s="740"/>
      <c r="EC136" s="740"/>
      <c r="ED136" s="740"/>
      <c r="EE136" s="740"/>
      <c r="EF136" s="740"/>
      <c r="EG136" s="740"/>
      <c r="EH136" s="740"/>
      <c r="EI136" s="740"/>
      <c r="EJ136" s="740"/>
      <c r="EK136" s="740"/>
      <c r="EL136" s="740"/>
      <c r="EM136" s="740"/>
      <c r="EN136" s="740"/>
      <c r="EO136" s="740"/>
      <c r="EP136" s="740"/>
      <c r="EQ136" s="740"/>
      <c r="ER136" s="740"/>
      <c r="ES136" s="740"/>
      <c r="ET136" s="740"/>
      <c r="EU136" s="740"/>
      <c r="EV136" s="740"/>
      <c r="EW136" s="740"/>
      <c r="EX136" s="740"/>
      <c r="EY136" s="740"/>
      <c r="EZ136" s="740"/>
      <c r="FA136" s="740"/>
      <c r="FB136" s="740"/>
      <c r="FC136" s="740"/>
      <c r="FD136" s="740"/>
      <c r="FE136" s="740"/>
      <c r="FF136" s="740"/>
      <c r="FG136" s="740"/>
      <c r="FH136" s="740"/>
      <c r="FI136" s="740"/>
      <c r="FJ136" s="740"/>
      <c r="FK136" s="740"/>
      <c r="FL136" s="740"/>
      <c r="FM136" s="740"/>
      <c r="FN136" s="740"/>
      <c r="FO136" s="740"/>
      <c r="FP136" s="740"/>
      <c r="FQ136" s="740"/>
      <c r="FR136" s="740"/>
      <c r="FS136" s="740"/>
      <c r="FT136" s="740"/>
      <c r="FU136" s="740"/>
      <c r="FV136" s="740"/>
      <c r="FW136" s="740"/>
      <c r="FX136" s="740"/>
      <c r="FY136" s="740"/>
      <c r="FZ136" s="740"/>
      <c r="GA136" s="740"/>
      <c r="GB136" s="740"/>
      <c r="GC136" s="740"/>
      <c r="GD136" s="740"/>
      <c r="GE136" s="740"/>
      <c r="GF136" s="740"/>
      <c r="GG136" s="740"/>
      <c r="GH136" s="740"/>
      <c r="GI136" s="740"/>
      <c r="GJ136" s="740"/>
      <c r="GK136" s="740"/>
      <c r="GL136" s="740"/>
      <c r="GM136" s="740"/>
      <c r="GN136" s="740"/>
      <c r="GO136" s="740"/>
      <c r="GP136" s="740"/>
      <c r="GQ136" s="740"/>
      <c r="GR136" s="740"/>
      <c r="GS136" s="740"/>
      <c r="GT136" s="740"/>
      <c r="GU136" s="740"/>
      <c r="GV136" s="740"/>
      <c r="GW136" s="740"/>
    </row>
    <row r="137" spans="1:205" ht="24" customHeight="1" x14ac:dyDescent="0.2">
      <c r="A137" s="2503"/>
      <c r="D137" s="726"/>
      <c r="E137" s="726"/>
      <c r="F137" s="726"/>
      <c r="G137" s="726"/>
      <c r="H137" s="726"/>
      <c r="I137" s="726"/>
      <c r="J137" s="982"/>
      <c r="K137" s="983"/>
      <c r="L137" s="982"/>
      <c r="M137" s="983"/>
      <c r="N137" s="982"/>
      <c r="O137" s="983"/>
      <c r="P137" s="982"/>
      <c r="Q137" s="983"/>
      <c r="R137" s="1052"/>
      <c r="S137" s="1052"/>
      <c r="U137"/>
      <c r="V137"/>
      <c r="W137"/>
      <c r="X137"/>
      <c r="Y137"/>
      <c r="Z137"/>
      <c r="AA137"/>
      <c r="AB137"/>
      <c r="AC137"/>
      <c r="AU137" s="740"/>
      <c r="AV137" s="740"/>
      <c r="AW137" s="740"/>
      <c r="AX137" s="740"/>
      <c r="AY137" s="740"/>
      <c r="AZ137" s="740"/>
      <c r="BA137" s="740"/>
      <c r="BB137" s="740"/>
      <c r="BC137" s="740"/>
      <c r="BD137" s="740"/>
      <c r="BE137" s="740"/>
      <c r="BF137" s="740"/>
      <c r="BG137" s="740"/>
      <c r="BH137" s="740"/>
      <c r="BI137" s="740"/>
      <c r="BJ137" s="740"/>
      <c r="BK137" s="740"/>
      <c r="BL137" s="740"/>
      <c r="BM137" s="740"/>
      <c r="BN137" s="740"/>
      <c r="BO137" s="740"/>
      <c r="BP137" s="740"/>
      <c r="BQ137" s="740"/>
      <c r="BR137" s="740"/>
      <c r="BS137" s="740"/>
      <c r="BT137" s="740"/>
      <c r="BU137" s="740"/>
      <c r="BV137" s="740"/>
      <c r="BW137" s="740"/>
      <c r="BX137" s="740"/>
      <c r="BY137" s="740"/>
      <c r="BZ137" s="740"/>
      <c r="CA137" s="740"/>
      <c r="CB137" s="740"/>
      <c r="CC137" s="740"/>
      <c r="CD137" s="740"/>
      <c r="CE137" s="740"/>
      <c r="CF137" s="740"/>
      <c r="CG137" s="740"/>
      <c r="CH137" s="740"/>
      <c r="CI137" s="740"/>
      <c r="CJ137" s="740"/>
      <c r="CK137" s="740"/>
      <c r="CL137" s="740"/>
      <c r="CM137" s="740"/>
      <c r="CN137" s="740"/>
      <c r="CO137" s="740"/>
      <c r="CP137" s="740"/>
      <c r="CQ137" s="740"/>
      <c r="CR137" s="740"/>
      <c r="CS137" s="740"/>
      <c r="CT137" s="740"/>
      <c r="CU137" s="740"/>
      <c r="CV137" s="740"/>
      <c r="CW137" s="740"/>
      <c r="CX137" s="740"/>
      <c r="CY137" s="740"/>
      <c r="CZ137" s="740"/>
      <c r="DA137" s="740"/>
      <c r="DB137" s="740"/>
      <c r="DC137" s="740"/>
      <c r="DD137" s="740"/>
      <c r="DE137" s="740"/>
      <c r="DF137" s="740"/>
      <c r="DG137" s="740"/>
      <c r="DH137" s="740"/>
      <c r="DI137" s="740"/>
      <c r="DJ137" s="740"/>
      <c r="DK137" s="740"/>
      <c r="DL137" s="740"/>
      <c r="DM137" s="740"/>
      <c r="DN137" s="740"/>
      <c r="DO137" s="740"/>
      <c r="DP137" s="740"/>
      <c r="DQ137" s="740"/>
      <c r="DR137" s="740"/>
      <c r="DS137" s="740"/>
      <c r="DT137" s="740"/>
      <c r="DU137" s="740"/>
      <c r="DV137" s="740"/>
      <c r="DW137" s="740"/>
      <c r="DX137" s="740"/>
      <c r="DY137" s="740"/>
      <c r="DZ137" s="740"/>
      <c r="EA137" s="740"/>
      <c r="EB137" s="740"/>
      <c r="EC137" s="740"/>
      <c r="ED137" s="740"/>
      <c r="EE137" s="740"/>
      <c r="EF137" s="740"/>
      <c r="EG137" s="740"/>
      <c r="EH137" s="740"/>
      <c r="EI137" s="740"/>
      <c r="EJ137" s="740"/>
      <c r="EK137" s="740"/>
      <c r="EL137" s="740"/>
      <c r="EM137" s="740"/>
      <c r="EN137" s="740"/>
      <c r="EO137" s="740"/>
      <c r="EP137" s="740"/>
      <c r="EQ137" s="740"/>
      <c r="ER137" s="740"/>
      <c r="ES137" s="740"/>
      <c r="ET137" s="740"/>
      <c r="EU137" s="740"/>
      <c r="EV137" s="740"/>
      <c r="EW137" s="740"/>
      <c r="EX137" s="740"/>
      <c r="EY137" s="740"/>
      <c r="EZ137" s="740"/>
      <c r="FA137" s="740"/>
      <c r="FB137" s="740"/>
      <c r="FC137" s="740"/>
      <c r="FD137" s="740"/>
      <c r="FE137" s="740"/>
      <c r="FF137" s="740"/>
      <c r="FG137" s="740"/>
      <c r="FH137" s="740"/>
      <c r="FI137" s="740"/>
      <c r="FJ137" s="740"/>
      <c r="FK137" s="740"/>
      <c r="FL137" s="740"/>
      <c r="FM137" s="740"/>
      <c r="FN137" s="740"/>
      <c r="FO137" s="740"/>
      <c r="FP137" s="740"/>
      <c r="FQ137" s="740"/>
      <c r="FR137" s="740"/>
      <c r="FS137" s="740"/>
      <c r="FT137" s="740"/>
      <c r="FU137" s="740"/>
      <c r="FV137" s="740"/>
      <c r="FW137" s="740"/>
      <c r="FX137" s="740"/>
      <c r="FY137" s="740"/>
      <c r="FZ137" s="740"/>
      <c r="GA137" s="740"/>
      <c r="GB137" s="740"/>
      <c r="GC137" s="740"/>
      <c r="GD137" s="740"/>
      <c r="GE137" s="740"/>
      <c r="GF137" s="740"/>
      <c r="GG137" s="740"/>
      <c r="GH137" s="740"/>
      <c r="GI137" s="740"/>
      <c r="GJ137" s="740"/>
      <c r="GK137" s="740"/>
      <c r="GL137" s="740"/>
      <c r="GM137" s="740"/>
      <c r="GN137" s="740"/>
      <c r="GO137" s="740"/>
      <c r="GP137" s="740"/>
      <c r="GQ137" s="740"/>
      <c r="GR137" s="740"/>
      <c r="GS137" s="740"/>
      <c r="GT137" s="740"/>
      <c r="GU137" s="740"/>
      <c r="GV137" s="740"/>
      <c r="GW137" s="740"/>
    </row>
    <row r="138" spans="1:205" ht="24" customHeight="1" x14ac:dyDescent="0.4">
      <c r="A138" s="2503"/>
      <c r="D138" s="1341" t="s">
        <v>720</v>
      </c>
      <c r="E138" s="1342" t="s">
        <v>721</v>
      </c>
      <c r="F138"/>
      <c r="G138" s="982"/>
      <c r="H138" s="982"/>
      <c r="I138" s="982"/>
      <c r="J138" s="984"/>
      <c r="K138" s="982"/>
      <c r="L138" s="983"/>
      <c r="M138" s="982"/>
      <c r="N138" s="983"/>
      <c r="O138" s="982"/>
      <c r="P138" s="983"/>
      <c r="Q138" s="982"/>
      <c r="R138" s="983"/>
      <c r="S138" s="1052"/>
      <c r="T138" s="740"/>
      <c r="U138"/>
      <c r="V138"/>
      <c r="W138"/>
      <c r="X138"/>
      <c r="Y138"/>
      <c r="Z138"/>
      <c r="AA138"/>
      <c r="AB138"/>
      <c r="AC138"/>
      <c r="AU138" s="740"/>
      <c r="AV138" s="740"/>
      <c r="AW138" s="740"/>
      <c r="AX138" s="740"/>
      <c r="AY138" s="740"/>
      <c r="AZ138" s="740"/>
      <c r="BA138" s="740"/>
      <c r="BB138" s="740"/>
      <c r="BC138" s="740"/>
      <c r="BD138" s="740"/>
      <c r="BE138" s="740"/>
      <c r="BF138" s="740"/>
      <c r="BG138" s="740"/>
      <c r="BH138" s="740"/>
      <c r="BI138" s="740"/>
      <c r="BJ138" s="740"/>
      <c r="BK138" s="740"/>
      <c r="BL138" s="740"/>
      <c r="BM138" s="740"/>
      <c r="BN138" s="740"/>
      <c r="BO138" s="740"/>
      <c r="BP138" s="740"/>
      <c r="BQ138" s="740"/>
      <c r="BR138" s="740"/>
      <c r="BS138" s="740"/>
      <c r="BT138" s="740"/>
      <c r="BU138" s="740"/>
      <c r="BV138" s="740"/>
      <c r="BW138" s="740"/>
      <c r="BX138" s="740"/>
      <c r="BY138" s="740"/>
      <c r="BZ138" s="740"/>
      <c r="CA138" s="740"/>
      <c r="CB138" s="740"/>
      <c r="CC138" s="740"/>
      <c r="CD138" s="740"/>
      <c r="CE138" s="740"/>
      <c r="CF138" s="740"/>
      <c r="CG138" s="740"/>
      <c r="CH138" s="740"/>
      <c r="CI138" s="740"/>
      <c r="CJ138" s="740"/>
      <c r="CK138" s="740"/>
      <c r="CL138" s="740"/>
      <c r="CM138" s="740"/>
      <c r="CN138" s="740"/>
      <c r="CO138" s="740"/>
      <c r="CP138" s="740"/>
      <c r="CQ138" s="740"/>
      <c r="CR138" s="740"/>
      <c r="CS138" s="740"/>
      <c r="CT138" s="740"/>
      <c r="CU138" s="740"/>
      <c r="CV138" s="740"/>
      <c r="CW138" s="740"/>
      <c r="CX138" s="740"/>
      <c r="CY138" s="740"/>
      <c r="CZ138" s="740"/>
      <c r="DA138" s="740"/>
      <c r="DB138" s="740"/>
      <c r="DC138" s="740"/>
      <c r="DD138" s="740"/>
      <c r="DE138" s="740"/>
      <c r="DF138" s="740"/>
      <c r="DG138" s="740"/>
      <c r="DH138" s="740"/>
      <c r="DI138" s="740"/>
      <c r="DJ138" s="740"/>
      <c r="DK138" s="740"/>
      <c r="DL138" s="740"/>
      <c r="DM138" s="740"/>
      <c r="DN138" s="740"/>
      <c r="DO138" s="740"/>
      <c r="DP138" s="740"/>
      <c r="DQ138" s="740"/>
      <c r="DR138" s="740"/>
      <c r="DS138" s="740"/>
      <c r="DT138" s="740"/>
      <c r="DU138" s="740"/>
      <c r="DV138" s="740"/>
      <c r="DW138" s="740"/>
      <c r="DX138" s="740"/>
      <c r="DY138" s="740"/>
      <c r="DZ138" s="740"/>
      <c r="EA138" s="740"/>
      <c r="EB138" s="740"/>
      <c r="EC138" s="740"/>
      <c r="ED138" s="740"/>
      <c r="EE138" s="740"/>
      <c r="EF138" s="740"/>
      <c r="EG138" s="740"/>
      <c r="EH138" s="740"/>
      <c r="EI138" s="740"/>
      <c r="EJ138" s="740"/>
      <c r="EK138" s="740"/>
      <c r="EL138" s="740"/>
      <c r="EM138" s="740"/>
      <c r="EN138" s="740"/>
      <c r="EO138" s="740"/>
      <c r="EP138" s="740"/>
      <c r="EQ138" s="740"/>
      <c r="ER138" s="740"/>
      <c r="ES138" s="740"/>
      <c r="ET138" s="740"/>
      <c r="EU138" s="740"/>
      <c r="EV138" s="740"/>
      <c r="EW138" s="740"/>
      <c r="EX138" s="740"/>
      <c r="EY138" s="740"/>
      <c r="EZ138" s="740"/>
      <c r="FA138" s="740"/>
      <c r="FB138" s="740"/>
      <c r="FC138" s="740"/>
      <c r="FD138" s="740"/>
      <c r="FE138" s="740"/>
      <c r="FF138" s="740"/>
      <c r="FG138" s="740"/>
      <c r="FH138" s="740"/>
      <c r="FI138" s="740"/>
      <c r="FJ138" s="740"/>
      <c r="FK138" s="740"/>
      <c r="FL138" s="740"/>
      <c r="FM138" s="740"/>
      <c r="FN138" s="740"/>
      <c r="FO138" s="740"/>
      <c r="FP138" s="740"/>
      <c r="FQ138" s="740"/>
      <c r="FR138" s="740"/>
      <c r="FS138" s="740"/>
      <c r="FT138" s="740"/>
      <c r="FU138" s="740"/>
      <c r="FV138" s="740"/>
      <c r="FW138" s="740"/>
      <c r="FX138" s="740"/>
      <c r="FY138" s="740"/>
      <c r="FZ138" s="740"/>
      <c r="GA138" s="740"/>
      <c r="GB138" s="740"/>
      <c r="GC138" s="740"/>
      <c r="GD138" s="740"/>
      <c r="GE138" s="740"/>
      <c r="GF138" s="740"/>
      <c r="GG138" s="740"/>
      <c r="GH138" s="740"/>
      <c r="GI138" s="740"/>
      <c r="GJ138" s="740"/>
      <c r="GK138" s="740"/>
      <c r="GL138" s="740"/>
      <c r="GM138" s="740"/>
      <c r="GN138" s="740"/>
      <c r="GO138" s="740"/>
      <c r="GP138" s="740"/>
      <c r="GQ138" s="740"/>
      <c r="GR138" s="740"/>
      <c r="GS138" s="740"/>
      <c r="GT138" s="740"/>
      <c r="GU138" s="740"/>
      <c r="GV138" s="740"/>
      <c r="GW138" s="740"/>
    </row>
    <row r="139" spans="1:205" ht="28.15" customHeight="1" x14ac:dyDescent="0.2">
      <c r="A139" s="2503"/>
      <c r="D139" s="1053"/>
      <c r="E139" s="1316" t="s">
        <v>709</v>
      </c>
      <c r="G139" s="982"/>
      <c r="H139" s="982"/>
      <c r="I139" s="982"/>
      <c r="J139" s="984"/>
      <c r="K139" s="1053"/>
      <c r="L139" s="1053"/>
      <c r="M139" s="1053"/>
      <c r="N139" s="1053"/>
      <c r="O139" s="1053"/>
      <c r="P139" s="1053"/>
      <c r="Q139" s="1053"/>
      <c r="R139" s="1053"/>
      <c r="S139" s="1053"/>
      <c r="T139"/>
      <c r="U139"/>
      <c r="V139"/>
      <c r="W139"/>
      <c r="X139"/>
      <c r="Y139"/>
      <c r="Z139"/>
      <c r="AA139"/>
      <c r="AB139"/>
      <c r="AC139"/>
      <c r="AU139" s="740"/>
      <c r="AV139" s="740"/>
      <c r="AW139" s="740"/>
      <c r="AX139" s="740"/>
      <c r="AY139" s="740"/>
      <c r="AZ139" s="740"/>
      <c r="BA139" s="740"/>
      <c r="BB139" s="740"/>
      <c r="BC139" s="740"/>
      <c r="BD139" s="740"/>
      <c r="BE139" s="740"/>
      <c r="BF139" s="740"/>
      <c r="BG139" s="740"/>
      <c r="BH139" s="740"/>
      <c r="BI139" s="740"/>
      <c r="BJ139" s="740"/>
      <c r="BK139" s="740"/>
      <c r="BL139" s="740"/>
      <c r="BM139" s="740"/>
      <c r="BN139" s="740"/>
      <c r="BO139" s="740"/>
      <c r="BP139" s="740"/>
      <c r="BQ139" s="740"/>
      <c r="BR139" s="740"/>
      <c r="BS139" s="740"/>
      <c r="BT139" s="740"/>
      <c r="BU139" s="740"/>
      <c r="BV139" s="740"/>
      <c r="BW139" s="740"/>
      <c r="BX139" s="740"/>
      <c r="BY139" s="740"/>
      <c r="BZ139" s="740"/>
      <c r="CA139" s="740"/>
      <c r="CB139" s="740"/>
      <c r="CC139" s="740"/>
      <c r="CD139" s="740"/>
      <c r="CE139" s="740"/>
      <c r="CF139" s="740"/>
      <c r="CG139" s="740"/>
      <c r="CH139" s="740"/>
      <c r="CI139" s="740"/>
      <c r="CJ139" s="740"/>
      <c r="CK139" s="740"/>
      <c r="CL139" s="740"/>
      <c r="CM139" s="740"/>
      <c r="CN139" s="740"/>
      <c r="CO139" s="740"/>
      <c r="CP139" s="740"/>
      <c r="CQ139" s="740"/>
      <c r="CR139" s="740"/>
      <c r="CS139" s="740"/>
      <c r="CT139" s="740"/>
      <c r="CU139" s="740"/>
      <c r="CV139" s="740"/>
      <c r="CW139" s="740"/>
      <c r="CX139" s="740"/>
      <c r="CY139" s="740"/>
      <c r="CZ139" s="740"/>
      <c r="DA139" s="740"/>
      <c r="DB139" s="740"/>
      <c r="DC139" s="740"/>
      <c r="DD139" s="740"/>
      <c r="DE139" s="740"/>
      <c r="DF139" s="740"/>
      <c r="DG139" s="740"/>
      <c r="DH139" s="740"/>
      <c r="DI139" s="740"/>
      <c r="DJ139" s="740"/>
      <c r="DK139" s="740"/>
      <c r="DL139" s="740"/>
      <c r="DM139" s="740"/>
      <c r="DN139" s="740"/>
      <c r="DO139" s="740"/>
      <c r="DP139" s="740"/>
      <c r="DQ139" s="740"/>
      <c r="DR139" s="740"/>
      <c r="DS139" s="740"/>
      <c r="DT139" s="740"/>
      <c r="DU139" s="740"/>
      <c r="DV139" s="740"/>
      <c r="DW139" s="740"/>
      <c r="DX139" s="740"/>
      <c r="DY139" s="740"/>
      <c r="DZ139" s="740"/>
      <c r="EA139" s="740"/>
      <c r="EB139" s="740"/>
      <c r="EC139" s="740"/>
      <c r="ED139" s="740"/>
      <c r="EE139" s="740"/>
      <c r="EF139" s="740"/>
      <c r="EG139" s="740"/>
      <c r="EH139" s="740"/>
      <c r="EI139" s="740"/>
      <c r="EJ139" s="740"/>
      <c r="EK139" s="740"/>
      <c r="EL139" s="740"/>
      <c r="EM139" s="740"/>
      <c r="EN139" s="740"/>
      <c r="EO139" s="740"/>
      <c r="EP139" s="740"/>
      <c r="EQ139" s="740"/>
      <c r="ER139" s="740"/>
      <c r="ES139" s="740"/>
      <c r="ET139" s="740"/>
      <c r="EU139" s="740"/>
      <c r="EV139" s="740"/>
      <c r="EW139" s="740"/>
      <c r="EX139" s="740"/>
      <c r="EY139" s="740"/>
      <c r="EZ139" s="740"/>
      <c r="FA139" s="740"/>
      <c r="FB139" s="740"/>
      <c r="FC139" s="740"/>
      <c r="FD139" s="740"/>
      <c r="FE139" s="740"/>
      <c r="FF139" s="740"/>
      <c r="FG139" s="740"/>
      <c r="FH139" s="740"/>
      <c r="FI139" s="740"/>
      <c r="FJ139" s="740"/>
      <c r="FK139" s="740"/>
      <c r="FL139" s="740"/>
      <c r="FM139" s="740"/>
      <c r="FN139" s="740"/>
      <c r="FO139" s="740"/>
      <c r="FP139" s="740"/>
      <c r="FQ139" s="740"/>
      <c r="FR139" s="740"/>
      <c r="FS139" s="740"/>
      <c r="FT139" s="740"/>
      <c r="FU139" s="740"/>
      <c r="FV139" s="740"/>
      <c r="FW139" s="740"/>
      <c r="FX139" s="740"/>
      <c r="FY139" s="740"/>
      <c r="FZ139" s="740"/>
      <c r="GA139" s="740"/>
      <c r="GB139" s="740"/>
      <c r="GC139" s="740"/>
      <c r="GD139" s="740"/>
      <c r="GE139" s="740"/>
      <c r="GF139" s="740"/>
      <c r="GG139" s="740"/>
      <c r="GH139" s="740"/>
      <c r="GI139" s="740"/>
      <c r="GJ139" s="740"/>
      <c r="GK139" s="740"/>
      <c r="GL139" s="740"/>
      <c r="GM139" s="740"/>
      <c r="GN139" s="740"/>
      <c r="GO139" s="740"/>
      <c r="GP139" s="740"/>
      <c r="GQ139" s="740"/>
      <c r="GR139" s="740"/>
      <c r="GS139" s="740"/>
      <c r="GT139" s="740"/>
      <c r="GU139" s="740"/>
      <c r="GV139" s="740"/>
      <c r="GW139" s="740"/>
    </row>
    <row r="140" spans="1:205" ht="24" customHeight="1" x14ac:dyDescent="0.2">
      <c r="A140" s="2503"/>
      <c r="D140" s="1053"/>
      <c r="E140" s="982" t="s">
        <v>1536</v>
      </c>
      <c r="F140" s="1053"/>
      <c r="G140" s="1053"/>
      <c r="H140" s="1053"/>
      <c r="I140" s="1053"/>
      <c r="J140" s="1053"/>
      <c r="K140" s="1053"/>
      <c r="L140" s="1053"/>
      <c r="M140" s="1053"/>
      <c r="N140" s="1053"/>
      <c r="O140" s="1053"/>
      <c r="P140" s="1053"/>
      <c r="Q140" s="1053"/>
      <c r="R140" s="1053"/>
      <c r="S140" s="1053"/>
      <c r="T140"/>
      <c r="U140"/>
      <c r="V140"/>
      <c r="W140"/>
      <c r="X140"/>
      <c r="Y140"/>
      <c r="Z140"/>
      <c r="AA140"/>
      <c r="AB140"/>
      <c r="AC140"/>
      <c r="AU140" s="740"/>
      <c r="AV140" s="740"/>
      <c r="AW140" s="740"/>
      <c r="AX140" s="740"/>
      <c r="AY140" s="740"/>
      <c r="AZ140" s="740"/>
      <c r="BA140" s="740"/>
      <c r="BB140" s="740"/>
      <c r="BC140" s="740"/>
      <c r="BD140" s="740"/>
      <c r="BE140" s="740"/>
      <c r="BF140" s="740"/>
      <c r="BG140" s="740"/>
      <c r="BH140" s="740"/>
      <c r="BI140" s="740"/>
      <c r="BJ140" s="740"/>
      <c r="BK140" s="740"/>
      <c r="BL140" s="740"/>
      <c r="BM140" s="740"/>
      <c r="BN140" s="740"/>
      <c r="BO140" s="740"/>
      <c r="BP140" s="740"/>
      <c r="BQ140" s="740"/>
      <c r="BR140" s="740"/>
      <c r="BS140" s="740"/>
      <c r="BT140" s="740"/>
      <c r="BU140" s="740"/>
      <c r="BV140" s="740"/>
      <c r="BW140" s="740"/>
      <c r="BX140" s="740"/>
      <c r="BY140" s="740"/>
      <c r="BZ140" s="740"/>
      <c r="CA140" s="740"/>
      <c r="CB140" s="740"/>
      <c r="CC140" s="740"/>
      <c r="CD140" s="740"/>
      <c r="CE140" s="740"/>
      <c r="CF140" s="740"/>
      <c r="CG140" s="740"/>
      <c r="CH140" s="740"/>
      <c r="CI140" s="740"/>
      <c r="CJ140" s="740"/>
      <c r="CK140" s="740"/>
      <c r="CL140" s="740"/>
      <c r="CM140" s="740"/>
      <c r="CN140" s="740"/>
      <c r="CO140" s="740"/>
      <c r="CP140" s="740"/>
      <c r="CQ140" s="740"/>
      <c r="CR140" s="740"/>
      <c r="CS140" s="740"/>
      <c r="CT140" s="740"/>
      <c r="CU140" s="740"/>
      <c r="CV140" s="740"/>
      <c r="CW140" s="740"/>
      <c r="CX140" s="740"/>
      <c r="CY140" s="740"/>
      <c r="CZ140" s="740"/>
      <c r="DA140" s="740"/>
      <c r="DB140" s="740"/>
      <c r="DC140" s="740"/>
      <c r="DD140" s="740"/>
      <c r="DE140" s="740"/>
      <c r="DF140" s="740"/>
      <c r="DG140" s="740"/>
      <c r="DH140" s="740"/>
      <c r="DI140" s="740"/>
      <c r="DJ140" s="740"/>
      <c r="DK140" s="740"/>
      <c r="DL140" s="740"/>
      <c r="DM140" s="740"/>
      <c r="DN140" s="740"/>
      <c r="DO140" s="740"/>
      <c r="DP140" s="740"/>
      <c r="DQ140" s="740"/>
      <c r="DR140" s="740"/>
      <c r="DS140" s="740"/>
      <c r="DT140" s="740"/>
      <c r="DU140" s="740"/>
      <c r="DV140" s="740"/>
      <c r="DW140" s="740"/>
      <c r="DX140" s="740"/>
      <c r="DY140" s="740"/>
      <c r="DZ140" s="740"/>
      <c r="EA140" s="740"/>
      <c r="EB140" s="740"/>
      <c r="EC140" s="740"/>
      <c r="ED140" s="740"/>
      <c r="EE140" s="740"/>
      <c r="EF140" s="740"/>
      <c r="EG140" s="740"/>
      <c r="EH140" s="740"/>
      <c r="EI140" s="740"/>
      <c r="EJ140" s="740"/>
      <c r="EK140" s="740"/>
      <c r="EL140" s="740"/>
      <c r="EM140" s="740"/>
      <c r="EN140" s="740"/>
      <c r="EO140" s="740"/>
      <c r="EP140" s="740"/>
      <c r="EQ140" s="740"/>
      <c r="ER140" s="740"/>
      <c r="ES140" s="740"/>
      <c r="ET140" s="740"/>
      <c r="EU140" s="740"/>
      <c r="EV140" s="740"/>
      <c r="EW140" s="740"/>
      <c r="EX140" s="740"/>
      <c r="EY140" s="740"/>
      <c r="EZ140" s="740"/>
      <c r="FA140" s="740"/>
      <c r="FB140" s="740"/>
      <c r="FC140" s="740"/>
      <c r="FD140" s="740"/>
      <c r="FE140" s="740"/>
      <c r="FF140" s="740"/>
      <c r="FG140" s="740"/>
      <c r="FH140" s="740"/>
      <c r="FI140" s="740"/>
      <c r="FJ140" s="740"/>
      <c r="FK140" s="740"/>
      <c r="FL140" s="740"/>
      <c r="FM140" s="740"/>
      <c r="FN140" s="740"/>
      <c r="FO140" s="740"/>
      <c r="FP140" s="740"/>
      <c r="FQ140" s="740"/>
      <c r="FR140" s="740"/>
      <c r="FS140" s="740"/>
      <c r="FT140" s="740"/>
      <c r="FU140" s="740"/>
      <c r="FV140" s="740"/>
      <c r="FW140" s="740"/>
      <c r="FX140" s="740"/>
      <c r="FY140" s="740"/>
      <c r="FZ140" s="740"/>
      <c r="GA140" s="740"/>
      <c r="GB140" s="740"/>
      <c r="GC140" s="740"/>
      <c r="GD140" s="740"/>
      <c r="GE140" s="740"/>
      <c r="GF140" s="740"/>
      <c r="GG140" s="740"/>
      <c r="GH140" s="740"/>
      <c r="GI140" s="740"/>
      <c r="GJ140" s="740"/>
      <c r="GK140" s="740"/>
      <c r="GL140" s="740"/>
      <c r="GM140" s="740"/>
      <c r="GN140" s="740"/>
      <c r="GO140" s="740"/>
      <c r="GP140" s="740"/>
      <c r="GQ140" s="740"/>
      <c r="GR140" s="740"/>
      <c r="GS140" s="740"/>
      <c r="GT140" s="740"/>
      <c r="GU140" s="740"/>
      <c r="GV140" s="740"/>
      <c r="GW140" s="740"/>
    </row>
    <row r="141" spans="1:205" ht="24" customHeight="1" x14ac:dyDescent="0.25">
      <c r="A141" s="2503"/>
      <c r="D141" s="1053"/>
      <c r="E141" s="1325" t="s">
        <v>1037</v>
      </c>
      <c r="F141" s="611"/>
      <c r="G141" s="611"/>
      <c r="H141" s="611"/>
      <c r="I141" s="611"/>
      <c r="J141" s="611"/>
      <c r="K141" s="385"/>
      <c r="L141" s="611"/>
      <c r="M141" s="611"/>
      <c r="N141" s="612"/>
      <c r="O141" s="385"/>
      <c r="P141" s="611"/>
      <c r="Q141" s="611"/>
      <c r="R141" s="1317"/>
      <c r="S141" s="1053"/>
      <c r="T141"/>
      <c r="U141"/>
      <c r="V141"/>
      <c r="W141"/>
      <c r="X141"/>
      <c r="Y141"/>
      <c r="Z141"/>
      <c r="AA141"/>
      <c r="AB141"/>
      <c r="AC141"/>
      <c r="AU141" s="740"/>
      <c r="AV141" s="740"/>
      <c r="AW141" s="740"/>
      <c r="AX141" s="740"/>
      <c r="AY141" s="740"/>
      <c r="AZ141" s="740"/>
      <c r="BA141" s="740"/>
      <c r="BB141" s="740"/>
      <c r="BC141" s="740"/>
      <c r="BD141" s="740"/>
      <c r="BE141" s="740"/>
      <c r="BF141" s="740"/>
      <c r="BG141" s="740"/>
      <c r="BH141" s="740"/>
      <c r="BI141" s="740"/>
      <c r="BJ141" s="740"/>
      <c r="BK141" s="740"/>
      <c r="BL141" s="740"/>
      <c r="BM141" s="740"/>
      <c r="BN141" s="740"/>
      <c r="BO141" s="740"/>
      <c r="BP141" s="740"/>
      <c r="BQ141" s="740"/>
      <c r="BR141" s="740"/>
      <c r="BS141" s="740"/>
      <c r="BT141" s="740"/>
      <c r="BU141" s="740"/>
      <c r="BV141" s="740"/>
      <c r="BW141" s="740"/>
      <c r="BX141" s="740"/>
      <c r="BY141" s="740"/>
      <c r="BZ141" s="740"/>
      <c r="CA141" s="740"/>
      <c r="CB141" s="740"/>
      <c r="CC141" s="740"/>
      <c r="CD141" s="740"/>
      <c r="CE141" s="740"/>
      <c r="CF141" s="740"/>
      <c r="CG141" s="740"/>
      <c r="CH141" s="740"/>
      <c r="CI141" s="740"/>
      <c r="CJ141" s="740"/>
      <c r="CK141" s="740"/>
      <c r="CL141" s="740"/>
      <c r="CM141" s="740"/>
      <c r="CN141" s="740"/>
      <c r="CO141" s="740"/>
      <c r="CP141" s="740"/>
      <c r="CQ141" s="740"/>
      <c r="CR141" s="740"/>
      <c r="CS141" s="740"/>
      <c r="CT141" s="740"/>
      <c r="CU141" s="740"/>
      <c r="CV141" s="740"/>
      <c r="CW141" s="740"/>
      <c r="CX141" s="740"/>
      <c r="CY141" s="740"/>
      <c r="CZ141" s="740"/>
      <c r="DA141" s="740"/>
      <c r="DB141" s="740"/>
      <c r="DC141" s="740"/>
      <c r="DD141" s="740"/>
      <c r="DE141" s="740"/>
      <c r="DF141" s="740"/>
      <c r="DG141" s="740"/>
      <c r="DH141" s="740"/>
      <c r="DI141" s="740"/>
      <c r="DJ141" s="740"/>
      <c r="DK141" s="740"/>
      <c r="DL141" s="740"/>
      <c r="DM141" s="740"/>
      <c r="DN141" s="740"/>
      <c r="DO141" s="740"/>
      <c r="DP141" s="740"/>
      <c r="DQ141" s="740"/>
      <c r="DR141" s="740"/>
      <c r="DS141" s="740"/>
      <c r="DT141" s="740"/>
      <c r="DU141" s="740"/>
      <c r="DV141" s="740"/>
      <c r="DW141" s="740"/>
      <c r="DX141" s="740"/>
      <c r="DY141" s="740"/>
      <c r="DZ141" s="740"/>
      <c r="EA141" s="740"/>
      <c r="EB141" s="740"/>
      <c r="EC141" s="740"/>
      <c r="ED141" s="740"/>
      <c r="EE141" s="740"/>
      <c r="EF141" s="740"/>
      <c r="EG141" s="740"/>
      <c r="EH141" s="740"/>
      <c r="EI141" s="740"/>
      <c r="EJ141" s="740"/>
      <c r="EK141" s="740"/>
      <c r="EL141" s="740"/>
      <c r="EM141" s="740"/>
      <c r="EN141" s="740"/>
      <c r="EO141" s="740"/>
      <c r="EP141" s="740"/>
      <c r="EQ141" s="740"/>
      <c r="ER141" s="740"/>
      <c r="ES141" s="740"/>
      <c r="ET141" s="740"/>
      <c r="EU141" s="740"/>
      <c r="EV141" s="740"/>
      <c r="EW141" s="740"/>
      <c r="EX141" s="740"/>
      <c r="EY141" s="740"/>
      <c r="EZ141" s="740"/>
      <c r="FA141" s="740"/>
      <c r="FB141" s="740"/>
      <c r="FC141" s="740"/>
      <c r="FD141" s="740"/>
      <c r="FE141" s="740"/>
      <c r="FF141" s="740"/>
      <c r="FG141" s="740"/>
      <c r="FH141" s="740"/>
      <c r="FI141" s="740"/>
      <c r="FJ141" s="740"/>
      <c r="FK141" s="740"/>
      <c r="FL141" s="740"/>
      <c r="FM141" s="740"/>
      <c r="FN141" s="740"/>
      <c r="FO141" s="740"/>
      <c r="FP141" s="740"/>
      <c r="FQ141" s="740"/>
      <c r="FR141" s="740"/>
      <c r="FS141" s="740"/>
      <c r="FT141" s="740"/>
      <c r="FU141" s="740"/>
      <c r="FV141" s="740"/>
      <c r="FW141" s="740"/>
      <c r="FX141" s="740"/>
      <c r="FY141" s="740"/>
      <c r="FZ141" s="740"/>
      <c r="GA141" s="740"/>
      <c r="GB141" s="740"/>
      <c r="GC141" s="740"/>
      <c r="GD141" s="740"/>
      <c r="GE141" s="740"/>
      <c r="GF141" s="740"/>
      <c r="GG141" s="740"/>
      <c r="GH141" s="740"/>
      <c r="GI141" s="740"/>
      <c r="GJ141" s="740"/>
      <c r="GK141" s="740"/>
      <c r="GL141" s="740"/>
      <c r="GM141" s="740"/>
      <c r="GN141" s="740"/>
      <c r="GO141" s="740"/>
      <c r="GP141" s="740"/>
      <c r="GQ141" s="740"/>
      <c r="GR141" s="740"/>
      <c r="GS141" s="740"/>
      <c r="GT141" s="740"/>
      <c r="GU141" s="740"/>
      <c r="GV141" s="740"/>
      <c r="GW141" s="740"/>
    </row>
    <row r="142" spans="1:205" ht="24" customHeight="1" x14ac:dyDescent="0.25">
      <c r="A142" s="2503"/>
      <c r="D142" s="1053"/>
      <c r="E142" s="1325" t="s">
        <v>409</v>
      </c>
      <c r="F142" s="611"/>
      <c r="G142" s="611"/>
      <c r="H142" s="611"/>
      <c r="I142" s="611"/>
      <c r="J142" s="611"/>
      <c r="K142" s="3985" t="s">
        <v>1512</v>
      </c>
      <c r="L142" s="3986"/>
      <c r="M142" s="3986"/>
      <c r="N142" s="3987"/>
      <c r="O142" s="3985" t="s">
        <v>1513</v>
      </c>
      <c r="P142" s="3986"/>
      <c r="Q142" s="3986"/>
      <c r="R142" s="3987"/>
      <c r="S142" s="1053"/>
      <c r="T142"/>
      <c r="U142"/>
      <c r="V142"/>
      <c r="W142"/>
      <c r="X142" s="740"/>
      <c r="Y142" s="740"/>
      <c r="Z142" s="740"/>
      <c r="AA142" s="739"/>
      <c r="AB142" s="189"/>
      <c r="AU142" s="740"/>
      <c r="AV142" s="740"/>
      <c r="AW142" s="740"/>
      <c r="AX142" s="740"/>
      <c r="AY142" s="740"/>
      <c r="AZ142" s="740"/>
      <c r="BA142" s="740"/>
      <c r="BB142" s="740"/>
      <c r="BC142" s="740"/>
      <c r="BD142" s="740"/>
      <c r="BE142" s="740"/>
      <c r="BF142" s="740"/>
      <c r="BG142" s="740"/>
      <c r="BH142" s="740"/>
      <c r="BI142" s="740"/>
      <c r="BJ142" s="740"/>
      <c r="BK142" s="740"/>
      <c r="BL142" s="740"/>
      <c r="BM142" s="740"/>
      <c r="BN142" s="740"/>
      <c r="BO142" s="740"/>
      <c r="BP142" s="740"/>
      <c r="BQ142" s="740"/>
      <c r="BR142" s="740"/>
      <c r="BS142" s="740"/>
      <c r="BT142" s="740"/>
      <c r="BU142" s="740"/>
      <c r="BV142" s="740"/>
      <c r="BW142" s="740"/>
      <c r="BX142" s="740"/>
      <c r="BY142" s="740"/>
      <c r="BZ142" s="740"/>
      <c r="CA142" s="740"/>
      <c r="CB142" s="740"/>
      <c r="CC142" s="740"/>
      <c r="CD142" s="740"/>
      <c r="CE142" s="740"/>
      <c r="CF142" s="740"/>
      <c r="CG142" s="740"/>
      <c r="CH142" s="740"/>
      <c r="CI142" s="740"/>
      <c r="CJ142" s="740"/>
      <c r="CK142" s="740"/>
      <c r="CL142" s="740"/>
      <c r="CM142" s="740"/>
      <c r="CN142" s="740"/>
      <c r="CO142" s="740"/>
      <c r="CP142" s="740"/>
      <c r="CQ142" s="740"/>
      <c r="CR142" s="740"/>
      <c r="CS142" s="740"/>
      <c r="CT142" s="740"/>
      <c r="CU142" s="740"/>
      <c r="CV142" s="740"/>
      <c r="CW142" s="740"/>
      <c r="CX142" s="740"/>
      <c r="CY142" s="740"/>
      <c r="CZ142" s="740"/>
      <c r="DA142" s="740"/>
      <c r="DB142" s="740"/>
      <c r="DC142" s="740"/>
      <c r="DD142" s="740"/>
      <c r="DE142" s="740"/>
      <c r="DF142" s="740"/>
      <c r="DG142" s="740"/>
      <c r="DH142" s="740"/>
      <c r="DI142" s="740"/>
      <c r="DJ142" s="740"/>
      <c r="DK142" s="740"/>
      <c r="DL142" s="740"/>
      <c r="DM142" s="740"/>
      <c r="DN142" s="740"/>
      <c r="DO142" s="740"/>
      <c r="DP142" s="740"/>
      <c r="DQ142" s="740"/>
      <c r="DR142" s="740"/>
      <c r="DS142" s="740"/>
      <c r="DT142" s="740"/>
      <c r="DU142" s="740"/>
      <c r="DV142" s="740"/>
      <c r="DW142" s="740"/>
      <c r="DX142" s="740"/>
      <c r="DY142" s="740"/>
      <c r="DZ142" s="740"/>
      <c r="EA142" s="740"/>
      <c r="EB142" s="740"/>
      <c r="EC142" s="740"/>
      <c r="ED142" s="740"/>
      <c r="EE142" s="740"/>
      <c r="EF142" s="740"/>
      <c r="EG142" s="740"/>
      <c r="EH142" s="740"/>
      <c r="EI142" s="740"/>
      <c r="EJ142" s="740"/>
      <c r="EK142" s="740"/>
      <c r="EL142" s="740"/>
      <c r="EM142" s="740"/>
      <c r="EN142" s="740"/>
      <c r="EO142" s="740"/>
      <c r="EP142" s="740"/>
      <c r="EQ142" s="740"/>
      <c r="ER142" s="740"/>
      <c r="ES142" s="740"/>
      <c r="ET142" s="740"/>
      <c r="EU142" s="740"/>
      <c r="EV142" s="740"/>
      <c r="EW142" s="740"/>
      <c r="EX142" s="740"/>
      <c r="EY142" s="740"/>
      <c r="EZ142" s="740"/>
      <c r="FA142" s="740"/>
      <c r="FB142" s="740"/>
      <c r="FC142" s="740"/>
      <c r="FD142" s="740"/>
      <c r="FE142" s="740"/>
      <c r="FF142" s="740"/>
      <c r="FG142" s="740"/>
      <c r="FH142" s="740"/>
      <c r="FI142" s="740"/>
      <c r="FJ142" s="740"/>
      <c r="FK142" s="740"/>
      <c r="FL142" s="740"/>
      <c r="FM142" s="740"/>
      <c r="FN142" s="740"/>
      <c r="FO142" s="740"/>
      <c r="FP142" s="740"/>
      <c r="FQ142" s="740"/>
      <c r="FR142" s="740"/>
      <c r="FS142" s="740"/>
      <c r="FT142" s="740"/>
      <c r="FU142" s="740"/>
      <c r="FV142" s="740"/>
      <c r="FW142" s="740"/>
      <c r="FX142" s="740"/>
      <c r="FY142" s="740"/>
      <c r="FZ142" s="740"/>
      <c r="GA142" s="740"/>
      <c r="GB142" s="740"/>
      <c r="GC142" s="740"/>
      <c r="GD142" s="740"/>
      <c r="GE142" s="740"/>
      <c r="GF142" s="740"/>
      <c r="GG142" s="740"/>
      <c r="GH142" s="740"/>
      <c r="GI142" s="740"/>
      <c r="GJ142" s="740"/>
      <c r="GK142" s="740"/>
      <c r="GL142" s="740"/>
      <c r="GM142" s="740"/>
      <c r="GN142" s="740"/>
      <c r="GO142" s="740"/>
      <c r="GP142" s="740"/>
      <c r="GQ142" s="740"/>
      <c r="GR142" s="740"/>
      <c r="GS142" s="740"/>
      <c r="GT142" s="740"/>
      <c r="GU142" s="740"/>
      <c r="GV142" s="740"/>
      <c r="GW142" s="740"/>
    </row>
    <row r="143" spans="1:205" ht="24" customHeight="1" x14ac:dyDescent="0.25">
      <c r="A143" s="2503"/>
      <c r="D143"/>
      <c r="E143" s="1326"/>
      <c r="F143" s="259"/>
      <c r="G143" s="259"/>
      <c r="H143" s="259"/>
      <c r="I143" s="259"/>
      <c r="J143" s="259"/>
      <c r="K143" s="3999" t="s">
        <v>1537</v>
      </c>
      <c r="L143" s="4000"/>
      <c r="M143" s="4000"/>
      <c r="N143" s="4001"/>
      <c r="O143" s="3999" t="s">
        <v>1542</v>
      </c>
      <c r="P143" s="4000"/>
      <c r="Q143" s="4000"/>
      <c r="R143" s="4001"/>
      <c r="S143"/>
      <c r="T143"/>
      <c r="U143"/>
      <c r="V143"/>
      <c r="W143"/>
      <c r="X143" s="740"/>
      <c r="Y143" s="740"/>
      <c r="Z143" s="740"/>
      <c r="AA143" s="739"/>
      <c r="AB143" s="189"/>
      <c r="AU143" s="740"/>
      <c r="AV143" s="740"/>
      <c r="AW143" s="740"/>
      <c r="AX143" s="740"/>
      <c r="AY143" s="740"/>
      <c r="AZ143" s="740"/>
      <c r="BA143" s="740"/>
      <c r="BB143" s="740"/>
      <c r="BC143" s="740"/>
      <c r="BD143" s="740"/>
      <c r="BE143" s="740"/>
      <c r="BF143" s="740"/>
      <c r="BG143" s="740"/>
      <c r="BH143" s="740"/>
      <c r="BI143" s="740"/>
      <c r="BJ143" s="740"/>
      <c r="BK143" s="740"/>
      <c r="BL143" s="740"/>
      <c r="BM143" s="740"/>
      <c r="BN143" s="740"/>
      <c r="BO143" s="740"/>
      <c r="BP143" s="740"/>
      <c r="BQ143" s="740"/>
      <c r="BR143" s="740"/>
      <c r="BS143" s="740"/>
      <c r="BT143" s="740"/>
      <c r="BU143" s="740"/>
      <c r="BV143" s="740"/>
      <c r="BW143" s="740"/>
      <c r="BX143" s="740"/>
      <c r="BY143" s="740"/>
      <c r="BZ143" s="740"/>
      <c r="CA143" s="740"/>
      <c r="CB143" s="740"/>
      <c r="CC143" s="740"/>
      <c r="CD143" s="740"/>
      <c r="CE143" s="740"/>
      <c r="CF143" s="740"/>
      <c r="CG143" s="740"/>
      <c r="CH143" s="740"/>
      <c r="CI143" s="740"/>
      <c r="CJ143" s="740"/>
      <c r="CK143" s="740"/>
      <c r="CL143" s="740"/>
      <c r="CM143" s="740"/>
      <c r="CN143" s="740"/>
      <c r="CO143" s="740"/>
      <c r="CP143" s="740"/>
      <c r="CQ143" s="740"/>
      <c r="CR143" s="740"/>
      <c r="CS143" s="740"/>
      <c r="CT143" s="740"/>
      <c r="CU143" s="740"/>
      <c r="CV143" s="740"/>
      <c r="CW143" s="740"/>
      <c r="CX143" s="740"/>
      <c r="CY143" s="740"/>
      <c r="CZ143" s="740"/>
      <c r="DA143" s="740"/>
      <c r="DB143" s="740"/>
      <c r="DC143" s="740"/>
      <c r="DD143" s="740"/>
      <c r="DE143" s="740"/>
      <c r="DF143" s="740"/>
      <c r="DG143" s="740"/>
      <c r="DH143" s="740"/>
      <c r="DI143" s="740"/>
      <c r="DJ143" s="740"/>
      <c r="DK143" s="740"/>
      <c r="DL143" s="740"/>
      <c r="DM143" s="740"/>
      <c r="DN143" s="740"/>
      <c r="DO143" s="740"/>
      <c r="DP143" s="740"/>
      <c r="DQ143" s="740"/>
      <c r="DR143" s="740"/>
      <c r="DS143" s="740"/>
      <c r="DT143" s="740"/>
      <c r="DU143" s="740"/>
      <c r="DV143" s="740"/>
      <c r="DW143" s="740"/>
      <c r="DX143" s="740"/>
      <c r="DY143" s="740"/>
      <c r="DZ143" s="740"/>
      <c r="EA143" s="740"/>
      <c r="EB143" s="740"/>
      <c r="EC143" s="740"/>
      <c r="ED143" s="740"/>
      <c r="EE143" s="740"/>
      <c r="EF143" s="740"/>
      <c r="EG143" s="740"/>
      <c r="EH143" s="740"/>
      <c r="EI143" s="740"/>
      <c r="EJ143" s="740"/>
      <c r="EK143" s="740"/>
      <c r="EL143" s="740"/>
      <c r="EM143" s="740"/>
      <c r="EN143" s="740"/>
      <c r="EO143" s="740"/>
      <c r="EP143" s="740"/>
      <c r="EQ143" s="740"/>
      <c r="ER143" s="740"/>
      <c r="ES143" s="740"/>
      <c r="ET143" s="740"/>
      <c r="EU143" s="740"/>
      <c r="EV143" s="740"/>
      <c r="EW143" s="740"/>
      <c r="EX143" s="740"/>
      <c r="EY143" s="740"/>
      <c r="EZ143" s="740"/>
      <c r="FA143" s="740"/>
      <c r="FB143" s="740"/>
      <c r="FC143" s="740"/>
      <c r="FD143" s="740"/>
      <c r="FE143" s="740"/>
      <c r="FF143" s="740"/>
      <c r="FG143" s="740"/>
      <c r="FH143" s="740"/>
      <c r="FI143" s="740"/>
      <c r="FJ143" s="740"/>
      <c r="FK143" s="740"/>
      <c r="FL143" s="740"/>
      <c r="FM143" s="740"/>
      <c r="FN143" s="740"/>
      <c r="FO143" s="740"/>
      <c r="FP143" s="740"/>
      <c r="FQ143" s="740"/>
      <c r="FR143" s="740"/>
      <c r="FS143" s="740"/>
      <c r="FT143" s="740"/>
      <c r="FU143" s="740"/>
      <c r="FV143" s="740"/>
      <c r="FW143" s="740"/>
      <c r="FX143" s="740"/>
      <c r="FY143" s="740"/>
      <c r="FZ143" s="740"/>
      <c r="GA143" s="740"/>
      <c r="GB143" s="740"/>
      <c r="GC143" s="740"/>
      <c r="GD143" s="740"/>
      <c r="GE143" s="740"/>
      <c r="GF143" s="740"/>
      <c r="GG143" s="740"/>
      <c r="GH143" s="740"/>
      <c r="GI143" s="740"/>
      <c r="GJ143" s="740"/>
      <c r="GK143" s="740"/>
      <c r="GL143" s="740"/>
      <c r="GM143" s="740"/>
      <c r="GN143" s="740"/>
      <c r="GO143" s="740"/>
      <c r="GP143" s="740"/>
      <c r="GQ143" s="740"/>
      <c r="GR143" s="740"/>
      <c r="GS143" s="740"/>
      <c r="GT143" s="740"/>
      <c r="GU143" s="740"/>
      <c r="GV143" s="740"/>
      <c r="GW143" s="740"/>
    </row>
    <row r="144" spans="1:205" ht="24" customHeight="1" x14ac:dyDescent="0.25">
      <c r="A144" s="2503"/>
      <c r="D144"/>
      <c r="E144" s="1325" t="s">
        <v>413</v>
      </c>
      <c r="F144" s="611"/>
      <c r="G144" s="611"/>
      <c r="H144" s="611"/>
      <c r="I144" s="611"/>
      <c r="J144" s="611"/>
      <c r="K144" s="1327" t="s">
        <v>857</v>
      </c>
      <c r="L144" s="1328"/>
      <c r="M144" s="1327" t="s">
        <v>1079</v>
      </c>
      <c r="N144" s="1991"/>
      <c r="O144" s="1327" t="s">
        <v>857</v>
      </c>
      <c r="P144" s="1329"/>
      <c r="Q144" s="1327" t="s">
        <v>1079</v>
      </c>
      <c r="R144" s="1991"/>
      <c r="S144"/>
      <c r="T144"/>
      <c r="U144"/>
      <c r="V144" s="740"/>
      <c r="W144" s="740"/>
      <c r="X144" s="740"/>
      <c r="Y144" s="740"/>
      <c r="Z144" s="740"/>
      <c r="AA144" s="739"/>
      <c r="AB144" s="189"/>
      <c r="AU144" s="740"/>
      <c r="AV144" s="740"/>
      <c r="AW144" s="740"/>
      <c r="AX144" s="740"/>
      <c r="AY144" s="740"/>
      <c r="AZ144" s="740"/>
      <c r="BA144" s="740"/>
      <c r="BB144" s="740"/>
      <c r="BC144" s="740"/>
      <c r="BD144" s="740"/>
      <c r="BE144" s="740"/>
      <c r="BF144" s="740"/>
      <c r="BG144" s="740"/>
      <c r="BH144" s="740"/>
      <c r="BI144" s="740"/>
      <c r="BJ144" s="740"/>
      <c r="BK144" s="740"/>
      <c r="BL144" s="740"/>
      <c r="BM144" s="740"/>
      <c r="BN144" s="740"/>
      <c r="BO144" s="740"/>
      <c r="BP144" s="740"/>
      <c r="BQ144" s="740"/>
      <c r="BR144" s="740"/>
      <c r="BS144" s="740"/>
      <c r="BT144" s="740"/>
      <c r="BU144" s="740"/>
      <c r="BV144" s="740"/>
      <c r="BW144" s="740"/>
      <c r="BX144" s="740"/>
      <c r="BY144" s="740"/>
      <c r="BZ144" s="740"/>
      <c r="CA144" s="740"/>
      <c r="CB144" s="740"/>
      <c r="CC144" s="740"/>
      <c r="CD144" s="740"/>
      <c r="CE144" s="740"/>
      <c r="CF144" s="740"/>
      <c r="CG144" s="740"/>
      <c r="CH144" s="740"/>
      <c r="CI144" s="740"/>
      <c r="CJ144" s="740"/>
      <c r="CK144" s="740"/>
      <c r="CL144" s="740"/>
      <c r="CM144" s="740"/>
      <c r="CN144" s="740"/>
      <c r="CO144" s="740"/>
      <c r="CP144" s="740"/>
      <c r="CQ144" s="740"/>
      <c r="CR144" s="740"/>
      <c r="CS144" s="740"/>
      <c r="CT144" s="740"/>
      <c r="CU144" s="740"/>
      <c r="CV144" s="740"/>
      <c r="CW144" s="740"/>
      <c r="CX144" s="740"/>
      <c r="CY144" s="740"/>
      <c r="CZ144" s="740"/>
      <c r="DA144" s="740"/>
      <c r="DB144" s="740"/>
      <c r="DC144" s="740"/>
      <c r="DD144" s="740"/>
      <c r="DE144" s="740"/>
      <c r="DF144" s="740"/>
      <c r="DG144" s="740"/>
      <c r="DH144" s="740"/>
      <c r="DI144" s="740"/>
      <c r="DJ144" s="740"/>
      <c r="DK144" s="740"/>
      <c r="DL144" s="740"/>
      <c r="DM144" s="740"/>
      <c r="DN144" s="740"/>
      <c r="DO144" s="740"/>
      <c r="DP144" s="740"/>
      <c r="DQ144" s="740"/>
      <c r="DR144" s="740"/>
      <c r="DS144" s="740"/>
      <c r="DT144" s="740"/>
      <c r="DU144" s="740"/>
      <c r="DV144" s="740"/>
      <c r="DW144" s="740"/>
      <c r="DX144" s="740"/>
      <c r="DY144" s="740"/>
      <c r="DZ144" s="740"/>
      <c r="EA144" s="740"/>
      <c r="EB144" s="740"/>
      <c r="EC144" s="740"/>
      <c r="ED144" s="740"/>
      <c r="EE144" s="740"/>
      <c r="EF144" s="740"/>
      <c r="EG144" s="740"/>
      <c r="EH144" s="740"/>
      <c r="EI144" s="740"/>
      <c r="EJ144" s="740"/>
      <c r="EK144" s="740"/>
      <c r="EL144" s="740"/>
      <c r="EM144" s="740"/>
      <c r="EN144" s="740"/>
      <c r="EO144" s="740"/>
      <c r="EP144" s="740"/>
      <c r="EQ144" s="740"/>
      <c r="ER144" s="740"/>
      <c r="ES144" s="740"/>
      <c r="ET144" s="740"/>
      <c r="EU144" s="740"/>
      <c r="EV144" s="740"/>
      <c r="EW144" s="740"/>
      <c r="EX144" s="740"/>
      <c r="EY144" s="740"/>
      <c r="EZ144" s="740"/>
      <c r="FA144" s="740"/>
      <c r="FB144" s="740"/>
      <c r="FC144" s="740"/>
      <c r="FD144" s="740"/>
      <c r="FE144" s="740"/>
      <c r="FF144" s="740"/>
      <c r="FG144" s="740"/>
      <c r="FH144" s="740"/>
      <c r="FI144" s="740"/>
      <c r="FJ144" s="740"/>
      <c r="FK144" s="740"/>
      <c r="FL144" s="740"/>
      <c r="FM144" s="740"/>
      <c r="FN144" s="740"/>
      <c r="FO144" s="740"/>
      <c r="FP144" s="740"/>
      <c r="FQ144" s="740"/>
      <c r="FR144" s="740"/>
      <c r="FS144" s="740"/>
      <c r="FT144" s="740"/>
      <c r="FU144" s="740"/>
      <c r="FV144" s="740"/>
      <c r="FW144" s="740"/>
      <c r="FX144" s="740"/>
      <c r="FY144" s="740"/>
      <c r="FZ144" s="740"/>
      <c r="GA144" s="740"/>
      <c r="GB144" s="740"/>
      <c r="GC144" s="740"/>
      <c r="GD144" s="740"/>
      <c r="GE144" s="740"/>
      <c r="GF144" s="740"/>
      <c r="GG144" s="740"/>
      <c r="GH144" s="740"/>
      <c r="GI144" s="740"/>
      <c r="GJ144" s="740"/>
      <c r="GK144" s="740"/>
      <c r="GL144" s="740"/>
      <c r="GM144" s="740"/>
      <c r="GN144" s="740"/>
      <c r="GO144" s="740"/>
      <c r="GP144" s="740"/>
      <c r="GQ144" s="740"/>
      <c r="GR144" s="740"/>
      <c r="GS144" s="740"/>
      <c r="GT144" s="740"/>
      <c r="GU144" s="740"/>
      <c r="GV144" s="740"/>
      <c r="GW144" s="740"/>
    </row>
    <row r="145" spans="1:205" ht="24" customHeight="1" x14ac:dyDescent="0.25">
      <c r="A145" s="2503"/>
      <c r="D145"/>
      <c r="E145" s="2354" t="s">
        <v>425</v>
      </c>
      <c r="F145" s="2314"/>
      <c r="G145" s="2314"/>
      <c r="H145" s="2802">
        <f>Preise!$N$50</f>
        <v>27.82</v>
      </c>
      <c r="I145" s="2314" t="s">
        <v>960</v>
      </c>
      <c r="J145" s="2314"/>
      <c r="K145" s="3796">
        <v>70</v>
      </c>
      <c r="L145" s="2803"/>
      <c r="M145" s="2804">
        <f>H145*K145/100</f>
        <v>19.474</v>
      </c>
      <c r="N145" s="2803"/>
      <c r="O145" s="3796">
        <v>70</v>
      </c>
      <c r="P145" s="2803"/>
      <c r="Q145" s="2804">
        <f>H145*O145/100</f>
        <v>19.474</v>
      </c>
      <c r="R145" s="2803"/>
      <c r="S145"/>
      <c r="T145"/>
      <c r="U145"/>
      <c r="V145" s="740"/>
      <c r="W145" s="740"/>
      <c r="X145" s="740"/>
      <c r="Y145" s="740"/>
      <c r="Z145" s="740"/>
      <c r="AA145" s="739"/>
      <c r="AB145" s="189"/>
      <c r="AU145" s="740"/>
      <c r="AV145" s="740"/>
      <c r="AW145" s="740"/>
      <c r="AX145" s="740"/>
      <c r="AY145" s="740"/>
      <c r="AZ145" s="740"/>
      <c r="BA145" s="740"/>
      <c r="BB145" s="740"/>
      <c r="BC145" s="740"/>
      <c r="BD145" s="740"/>
      <c r="BE145" s="740"/>
      <c r="BF145" s="740"/>
      <c r="BG145" s="740"/>
      <c r="BH145" s="740"/>
      <c r="BI145" s="740"/>
      <c r="BJ145" s="740"/>
      <c r="BK145" s="740"/>
      <c r="BL145" s="740"/>
      <c r="BM145" s="740"/>
      <c r="BN145" s="740"/>
      <c r="BO145" s="740"/>
      <c r="BP145" s="740"/>
      <c r="BQ145" s="740"/>
      <c r="BR145" s="740"/>
      <c r="BS145" s="740"/>
      <c r="BT145" s="740"/>
      <c r="BU145" s="740"/>
      <c r="BV145" s="740"/>
      <c r="BW145" s="740"/>
      <c r="BX145" s="740"/>
      <c r="BY145" s="740"/>
      <c r="BZ145" s="740"/>
      <c r="CA145" s="740"/>
      <c r="CB145" s="740"/>
      <c r="CC145" s="740"/>
      <c r="CD145" s="740"/>
      <c r="CE145" s="740"/>
      <c r="CF145" s="740"/>
      <c r="CG145" s="740"/>
      <c r="CH145" s="740"/>
      <c r="CI145" s="740"/>
      <c r="CJ145" s="740"/>
      <c r="CK145" s="740"/>
      <c r="CL145" s="740"/>
      <c r="CM145" s="740"/>
      <c r="CN145" s="740"/>
      <c r="CO145" s="740"/>
      <c r="CP145" s="740"/>
      <c r="CQ145" s="740"/>
      <c r="CR145" s="740"/>
      <c r="CS145" s="740"/>
      <c r="CT145" s="740"/>
      <c r="CU145" s="740"/>
      <c r="CV145" s="740"/>
      <c r="CW145" s="740"/>
      <c r="CX145" s="740"/>
      <c r="CY145" s="740"/>
      <c r="CZ145" s="740"/>
      <c r="DA145" s="740"/>
      <c r="DB145" s="740"/>
      <c r="DC145" s="740"/>
      <c r="DD145" s="740"/>
      <c r="DE145" s="740"/>
      <c r="DF145" s="740"/>
      <c r="DG145" s="740"/>
      <c r="DH145" s="740"/>
      <c r="DI145" s="740"/>
      <c r="DJ145" s="740"/>
      <c r="DK145" s="740"/>
      <c r="DL145" s="740"/>
      <c r="DM145" s="740"/>
      <c r="DN145" s="740"/>
      <c r="DO145" s="740"/>
      <c r="DP145" s="740"/>
      <c r="DQ145" s="740"/>
      <c r="DR145" s="740"/>
      <c r="DS145" s="740"/>
      <c r="DT145" s="740"/>
      <c r="DU145" s="740"/>
      <c r="DV145" s="740"/>
      <c r="DW145" s="740"/>
      <c r="DX145" s="740"/>
      <c r="DY145" s="740"/>
      <c r="DZ145" s="740"/>
      <c r="EA145" s="740"/>
      <c r="EB145" s="740"/>
      <c r="EC145" s="740"/>
      <c r="ED145" s="740"/>
      <c r="EE145" s="740"/>
      <c r="EF145" s="740"/>
      <c r="EG145" s="740"/>
      <c r="EH145" s="740"/>
      <c r="EI145" s="740"/>
      <c r="EJ145" s="740"/>
      <c r="EK145" s="740"/>
      <c r="EL145" s="740"/>
      <c r="EM145" s="740"/>
      <c r="EN145" s="740"/>
      <c r="EO145" s="740"/>
      <c r="EP145" s="740"/>
      <c r="EQ145" s="740"/>
      <c r="ER145" s="740"/>
      <c r="ES145" s="740"/>
      <c r="ET145" s="740"/>
      <c r="EU145" s="740"/>
      <c r="EV145" s="740"/>
      <c r="EW145" s="740"/>
      <c r="EX145" s="740"/>
      <c r="EY145" s="740"/>
      <c r="EZ145" s="740"/>
      <c r="FA145" s="740"/>
      <c r="FB145" s="740"/>
      <c r="FC145" s="740"/>
      <c r="FD145" s="740"/>
      <c r="FE145" s="740"/>
      <c r="FF145" s="740"/>
      <c r="FG145" s="740"/>
      <c r="FH145" s="740"/>
      <c r="FI145" s="740"/>
      <c r="FJ145" s="740"/>
      <c r="FK145" s="740"/>
      <c r="FL145" s="740"/>
      <c r="FM145" s="740"/>
      <c r="FN145" s="740"/>
      <c r="FO145" s="740"/>
      <c r="FP145" s="740"/>
      <c r="FQ145" s="740"/>
      <c r="FR145" s="740"/>
      <c r="FS145" s="740"/>
      <c r="FT145" s="740"/>
      <c r="FU145" s="740"/>
      <c r="FV145" s="740"/>
      <c r="FW145" s="740"/>
      <c r="FX145" s="740"/>
      <c r="FY145" s="740"/>
      <c r="FZ145" s="740"/>
      <c r="GA145" s="740"/>
      <c r="GB145" s="740"/>
      <c r="GC145" s="740"/>
      <c r="GD145" s="740"/>
      <c r="GE145" s="740"/>
      <c r="GF145" s="740"/>
      <c r="GG145" s="740"/>
      <c r="GH145" s="740"/>
      <c r="GI145" s="740"/>
      <c r="GJ145" s="740"/>
      <c r="GK145" s="740"/>
      <c r="GL145" s="740"/>
      <c r="GM145" s="740"/>
      <c r="GN145" s="740"/>
      <c r="GO145" s="740"/>
      <c r="GP145" s="740"/>
      <c r="GQ145" s="740"/>
      <c r="GR145" s="740"/>
      <c r="GS145" s="740"/>
      <c r="GT145" s="740"/>
      <c r="GU145" s="740"/>
      <c r="GV145" s="740"/>
      <c r="GW145" s="740"/>
    </row>
    <row r="146" spans="1:205" ht="24" customHeight="1" x14ac:dyDescent="0.25">
      <c r="A146" s="2503"/>
      <c r="E146" s="2805" t="s">
        <v>414</v>
      </c>
      <c r="F146" s="2806"/>
      <c r="G146" s="2806"/>
      <c r="H146" s="2807">
        <f>Preise!$N$51</f>
        <v>322.07</v>
      </c>
      <c r="I146" s="2806" t="s">
        <v>1013</v>
      </c>
      <c r="J146" s="2806"/>
      <c r="K146" s="3797">
        <v>65</v>
      </c>
      <c r="L146" s="1328"/>
      <c r="M146" s="2808">
        <f>H146*K146/100</f>
        <v>209.34549999999999</v>
      </c>
      <c r="N146" s="1328"/>
      <c r="O146" s="3797">
        <v>50</v>
      </c>
      <c r="P146" s="1328"/>
      <c r="Q146" s="2808">
        <f>H146*O146/100</f>
        <v>161.035</v>
      </c>
      <c r="R146" s="2809"/>
      <c r="S146" s="740"/>
      <c r="T146" s="740"/>
      <c r="U146" s="740"/>
      <c r="V146" s="740"/>
      <c r="W146" s="740"/>
      <c r="X146" s="740"/>
      <c r="Y146" s="740"/>
      <c r="Z146" s="740"/>
      <c r="AA146" s="739"/>
      <c r="AB146" s="189"/>
      <c r="AU146" s="740"/>
      <c r="AV146" s="740"/>
      <c r="AW146" s="740"/>
      <c r="AX146" s="740"/>
      <c r="AY146" s="740"/>
      <c r="AZ146" s="740"/>
      <c r="BA146" s="740"/>
      <c r="BB146" s="740"/>
      <c r="BC146" s="740"/>
      <c r="BD146" s="740"/>
      <c r="BE146" s="740"/>
      <c r="BF146" s="740"/>
      <c r="BG146" s="740"/>
      <c r="BH146" s="740"/>
      <c r="BI146" s="740"/>
      <c r="BJ146" s="740"/>
      <c r="BK146" s="740"/>
      <c r="BL146" s="740"/>
      <c r="BM146" s="740"/>
      <c r="BN146" s="740"/>
      <c r="BO146" s="740"/>
      <c r="BP146" s="740"/>
      <c r="BQ146" s="740"/>
      <c r="BR146" s="740"/>
      <c r="BS146" s="740"/>
      <c r="BT146" s="740"/>
      <c r="BU146" s="740"/>
      <c r="BV146" s="740"/>
      <c r="BW146" s="740"/>
      <c r="BX146" s="740"/>
      <c r="BY146" s="740"/>
      <c r="BZ146" s="740"/>
      <c r="CA146" s="740"/>
      <c r="CB146" s="740"/>
      <c r="CC146" s="740"/>
      <c r="CD146" s="740"/>
      <c r="CE146" s="740"/>
      <c r="CF146" s="740"/>
      <c r="CG146" s="740"/>
      <c r="CH146" s="740"/>
      <c r="CI146" s="740"/>
      <c r="CJ146" s="740"/>
      <c r="CK146" s="740"/>
      <c r="CL146" s="740"/>
      <c r="CM146" s="740"/>
      <c r="CN146" s="740"/>
      <c r="CO146" s="740"/>
      <c r="CP146" s="740"/>
      <c r="CQ146" s="740"/>
      <c r="CR146" s="740"/>
      <c r="CS146" s="740"/>
      <c r="CT146" s="740"/>
      <c r="CU146" s="740"/>
      <c r="CV146" s="740"/>
      <c r="CW146" s="740"/>
      <c r="CX146" s="740"/>
      <c r="CY146" s="740"/>
      <c r="CZ146" s="740"/>
      <c r="DA146" s="740"/>
      <c r="DB146" s="740"/>
      <c r="DC146" s="740"/>
      <c r="DD146" s="740"/>
      <c r="DE146" s="740"/>
      <c r="DF146" s="740"/>
      <c r="DG146" s="740"/>
      <c r="DH146" s="740"/>
      <c r="DI146" s="740"/>
      <c r="DJ146" s="740"/>
      <c r="DK146" s="740"/>
      <c r="DL146" s="740"/>
      <c r="DM146" s="740"/>
      <c r="DN146" s="740"/>
      <c r="DO146" s="740"/>
      <c r="DP146" s="740"/>
      <c r="DQ146" s="740"/>
      <c r="DR146" s="740"/>
      <c r="DS146" s="740"/>
      <c r="DT146" s="740"/>
      <c r="DU146" s="740"/>
      <c r="DV146" s="740"/>
      <c r="DW146" s="740"/>
      <c r="DX146" s="740"/>
      <c r="DY146" s="740"/>
      <c r="DZ146" s="740"/>
      <c r="EA146" s="740"/>
      <c r="EB146" s="740"/>
      <c r="EC146" s="740"/>
      <c r="ED146" s="740"/>
      <c r="EE146" s="740"/>
      <c r="EF146" s="740"/>
      <c r="EG146" s="740"/>
      <c r="EH146" s="740"/>
      <c r="EI146" s="740"/>
      <c r="EJ146" s="740"/>
      <c r="EK146" s="740"/>
      <c r="EL146" s="740"/>
      <c r="EM146" s="740"/>
      <c r="EN146" s="740"/>
      <c r="EO146" s="740"/>
      <c r="EP146" s="740"/>
      <c r="EQ146" s="740"/>
      <c r="ER146" s="740"/>
      <c r="ES146" s="740"/>
      <c r="ET146" s="740"/>
      <c r="EU146" s="740"/>
      <c r="EV146" s="740"/>
      <c r="EW146" s="740"/>
      <c r="EX146" s="740"/>
      <c r="EY146" s="740"/>
      <c r="EZ146" s="740"/>
      <c r="FA146" s="740"/>
      <c r="FB146" s="740"/>
      <c r="FC146" s="740"/>
      <c r="FD146" s="740"/>
      <c r="FE146" s="740"/>
      <c r="FF146" s="740"/>
      <c r="FG146" s="740"/>
      <c r="FH146" s="740"/>
      <c r="FI146" s="740"/>
      <c r="FJ146" s="740"/>
      <c r="FK146" s="740"/>
      <c r="FL146" s="740"/>
      <c r="FM146" s="740"/>
      <c r="FN146" s="740"/>
      <c r="FO146" s="740"/>
      <c r="FP146" s="740"/>
      <c r="FQ146" s="740"/>
      <c r="FR146" s="740"/>
      <c r="FS146" s="740"/>
      <c r="FT146" s="740"/>
      <c r="FU146" s="740"/>
      <c r="FV146" s="740"/>
      <c r="FW146" s="740"/>
      <c r="FX146" s="740"/>
      <c r="FY146" s="740"/>
      <c r="FZ146" s="740"/>
      <c r="GA146" s="740"/>
      <c r="GB146" s="740"/>
      <c r="GC146" s="740"/>
      <c r="GD146" s="740"/>
      <c r="GE146" s="740"/>
      <c r="GF146" s="740"/>
      <c r="GG146" s="740"/>
      <c r="GH146" s="740"/>
      <c r="GI146" s="740"/>
      <c r="GJ146" s="740"/>
      <c r="GK146" s="740"/>
      <c r="GL146" s="740"/>
      <c r="GM146" s="740"/>
      <c r="GN146" s="740"/>
      <c r="GO146" s="740"/>
      <c r="GP146" s="740"/>
      <c r="GQ146" s="740"/>
      <c r="GR146" s="740"/>
      <c r="GS146" s="740"/>
      <c r="GT146" s="740"/>
      <c r="GU146" s="740"/>
      <c r="GV146" s="740"/>
      <c r="GW146" s="740"/>
    </row>
    <row r="147" spans="1:205" ht="24" customHeight="1" x14ac:dyDescent="0.25">
      <c r="A147" s="2503"/>
      <c r="E147" s="2354"/>
      <c r="F147" s="2314"/>
      <c r="G147" s="2314"/>
      <c r="H147" s="2810"/>
      <c r="I147" s="2314" t="s">
        <v>1013</v>
      </c>
      <c r="J147" s="2314"/>
      <c r="K147" s="3796"/>
      <c r="L147" s="2803"/>
      <c r="M147" s="2804">
        <f>H147*K147</f>
        <v>0</v>
      </c>
      <c r="N147" s="2803"/>
      <c r="O147" s="3796"/>
      <c r="P147" s="2803"/>
      <c r="Q147" s="2804">
        <f>H147*O147</f>
        <v>0</v>
      </c>
      <c r="R147" s="2811"/>
      <c r="T147" s="740"/>
      <c r="U147" s="740"/>
      <c r="V147" s="740"/>
      <c r="W147" s="740"/>
      <c r="X147" s="740"/>
      <c r="Y147" s="740"/>
      <c r="Z147" s="740"/>
      <c r="AA147" s="739"/>
      <c r="AB147" s="189"/>
      <c r="AU147" s="740"/>
      <c r="AV147" s="740"/>
      <c r="AW147" s="740"/>
      <c r="AX147" s="740"/>
      <c r="AY147" s="740"/>
      <c r="AZ147" s="740"/>
      <c r="BA147" s="740"/>
      <c r="BB147" s="740"/>
      <c r="BC147" s="740"/>
      <c r="BD147" s="740"/>
      <c r="BE147" s="740"/>
      <c r="BF147" s="740"/>
      <c r="BG147" s="740"/>
      <c r="BH147" s="740"/>
      <c r="BI147" s="740"/>
      <c r="BJ147" s="740"/>
      <c r="BK147" s="740"/>
      <c r="BL147" s="740"/>
      <c r="BM147" s="740"/>
      <c r="BN147" s="740"/>
      <c r="BO147" s="740"/>
      <c r="BP147" s="740"/>
      <c r="BQ147" s="740"/>
      <c r="BR147" s="740"/>
      <c r="BS147" s="740"/>
      <c r="BT147" s="740"/>
      <c r="BU147" s="740"/>
      <c r="BV147" s="740"/>
      <c r="BW147" s="740"/>
      <c r="BX147" s="740"/>
      <c r="BY147" s="740"/>
      <c r="BZ147" s="740"/>
      <c r="CA147" s="740"/>
      <c r="CB147" s="740"/>
      <c r="CC147" s="740"/>
      <c r="CD147" s="740"/>
      <c r="CE147" s="740"/>
      <c r="CF147" s="740"/>
      <c r="CG147" s="740"/>
      <c r="CH147" s="740"/>
      <c r="CI147" s="740"/>
      <c r="CJ147" s="740"/>
      <c r="CK147" s="740"/>
      <c r="CL147" s="740"/>
      <c r="CM147" s="740"/>
      <c r="CN147" s="740"/>
      <c r="CO147" s="740"/>
      <c r="CP147" s="740"/>
      <c r="CQ147" s="740"/>
      <c r="CR147" s="740"/>
      <c r="CS147" s="740"/>
      <c r="CT147" s="740"/>
      <c r="CU147" s="740"/>
      <c r="CV147" s="740"/>
      <c r="CW147" s="740"/>
      <c r="CX147" s="740"/>
      <c r="CY147" s="740"/>
      <c r="CZ147" s="740"/>
      <c r="DA147" s="740"/>
      <c r="DB147" s="740"/>
      <c r="DC147" s="740"/>
      <c r="DD147" s="740"/>
      <c r="DE147" s="740"/>
      <c r="DF147" s="740"/>
      <c r="DG147" s="740"/>
      <c r="DH147" s="740"/>
      <c r="DI147" s="740"/>
      <c r="DJ147" s="740"/>
      <c r="DK147" s="740"/>
      <c r="DL147" s="740"/>
      <c r="DM147" s="740"/>
      <c r="DN147" s="740"/>
      <c r="DO147" s="740"/>
      <c r="DP147" s="740"/>
      <c r="DQ147" s="740"/>
      <c r="DR147" s="740"/>
      <c r="DS147" s="740"/>
      <c r="DT147" s="740"/>
      <c r="DU147" s="740"/>
      <c r="DV147" s="740"/>
      <c r="DW147" s="740"/>
      <c r="DX147" s="740"/>
      <c r="DY147" s="740"/>
      <c r="DZ147" s="740"/>
      <c r="EA147" s="740"/>
      <c r="EB147" s="740"/>
      <c r="EC147" s="740"/>
      <c r="ED147" s="740"/>
      <c r="EE147" s="740"/>
      <c r="EF147" s="740"/>
      <c r="EG147" s="740"/>
      <c r="EH147" s="740"/>
      <c r="EI147" s="740"/>
      <c r="EJ147" s="740"/>
      <c r="EK147" s="740"/>
      <c r="EL147" s="740"/>
      <c r="EM147" s="740"/>
      <c r="EN147" s="740"/>
      <c r="EO147" s="740"/>
      <c r="EP147" s="740"/>
      <c r="EQ147" s="740"/>
      <c r="ER147" s="740"/>
      <c r="ES147" s="740"/>
      <c r="ET147" s="740"/>
      <c r="EU147" s="740"/>
      <c r="EV147" s="740"/>
      <c r="EW147" s="740"/>
      <c r="EX147" s="740"/>
      <c r="EY147" s="740"/>
      <c r="EZ147" s="740"/>
      <c r="FA147" s="740"/>
      <c r="FB147" s="740"/>
      <c r="FC147" s="740"/>
      <c r="FD147" s="740"/>
      <c r="FE147" s="740"/>
      <c r="FF147" s="740"/>
      <c r="FG147" s="740"/>
      <c r="FH147" s="740"/>
      <c r="FI147" s="740"/>
      <c r="FJ147" s="740"/>
      <c r="FK147" s="740"/>
      <c r="FL147" s="740"/>
      <c r="FM147" s="740"/>
      <c r="FN147" s="740"/>
      <c r="FO147" s="740"/>
      <c r="FP147" s="740"/>
      <c r="FQ147" s="740"/>
      <c r="FR147" s="740"/>
      <c r="FS147" s="740"/>
      <c r="FT147" s="740"/>
      <c r="FU147" s="740"/>
      <c r="FV147" s="740"/>
      <c r="FW147" s="740"/>
      <c r="FX147" s="740"/>
      <c r="FY147" s="740"/>
      <c r="FZ147" s="740"/>
      <c r="GA147" s="740"/>
      <c r="GB147" s="740"/>
      <c r="GC147" s="740"/>
      <c r="GD147" s="740"/>
      <c r="GE147" s="740"/>
      <c r="GF147" s="740"/>
      <c r="GG147" s="740"/>
      <c r="GH147" s="740"/>
      <c r="GI147" s="740"/>
      <c r="GJ147" s="740"/>
      <c r="GK147" s="740"/>
      <c r="GL147" s="740"/>
      <c r="GM147" s="740"/>
      <c r="GN147" s="740"/>
      <c r="GO147" s="740"/>
      <c r="GP147" s="740"/>
      <c r="GQ147" s="740"/>
      <c r="GR147" s="740"/>
      <c r="GS147" s="740"/>
      <c r="GT147" s="740"/>
      <c r="GU147" s="740"/>
      <c r="GV147" s="740"/>
      <c r="GW147" s="740"/>
    </row>
    <row r="148" spans="1:205" ht="24" customHeight="1" x14ac:dyDescent="0.25">
      <c r="A148" s="2503"/>
      <c r="E148" s="2805" t="s">
        <v>415</v>
      </c>
      <c r="F148" s="2806"/>
      <c r="G148" s="2806"/>
      <c r="H148" s="2807">
        <f>Preise!$N$52</f>
        <v>42.265000000000001</v>
      </c>
      <c r="I148" s="2806" t="s">
        <v>1013</v>
      </c>
      <c r="J148" s="2806"/>
      <c r="K148" s="3797">
        <v>20</v>
      </c>
      <c r="L148" s="1328"/>
      <c r="M148" s="2808">
        <f>H148*K148/100</f>
        <v>8.4529999999999994</v>
      </c>
      <c r="N148" s="1328"/>
      <c r="O148" s="3797">
        <v>20</v>
      </c>
      <c r="P148" s="1328"/>
      <c r="Q148" s="2808">
        <f>H148*O148/100</f>
        <v>8.4529999999999994</v>
      </c>
      <c r="R148" s="2809"/>
      <c r="T148" s="740"/>
      <c r="U148" s="740"/>
      <c r="V148" s="740"/>
      <c r="W148" s="740"/>
      <c r="X148" s="740"/>
      <c r="Y148" s="740"/>
      <c r="Z148" s="740"/>
      <c r="AA148" s="739"/>
      <c r="AB148" s="189"/>
      <c r="AU148" s="740"/>
      <c r="AV148" s="740"/>
      <c r="AW148" s="740"/>
      <c r="AX148" s="740"/>
      <c r="AY148" s="740"/>
      <c r="AZ148" s="740"/>
      <c r="BA148" s="740"/>
      <c r="BB148" s="740"/>
      <c r="BC148" s="740"/>
      <c r="BD148" s="740"/>
      <c r="BE148" s="740"/>
      <c r="BF148" s="740"/>
      <c r="BG148" s="740"/>
      <c r="BH148" s="740"/>
      <c r="BI148" s="740"/>
      <c r="BJ148" s="740"/>
      <c r="BK148" s="740"/>
      <c r="BL148" s="740"/>
      <c r="BM148" s="740"/>
      <c r="BN148" s="740"/>
      <c r="BO148" s="740"/>
      <c r="BP148" s="740"/>
      <c r="BQ148" s="740"/>
      <c r="BR148" s="740"/>
      <c r="BS148" s="740"/>
      <c r="BT148" s="740"/>
      <c r="BU148" s="740"/>
      <c r="BV148" s="740"/>
      <c r="BW148" s="740"/>
      <c r="BX148" s="740"/>
      <c r="BY148" s="740"/>
      <c r="BZ148" s="740"/>
      <c r="CA148" s="740"/>
      <c r="CB148" s="740"/>
      <c r="CC148" s="740"/>
      <c r="CD148" s="740"/>
      <c r="CE148" s="740"/>
      <c r="CF148" s="740"/>
      <c r="CG148" s="740"/>
      <c r="CH148" s="740"/>
      <c r="CI148" s="740"/>
      <c r="CJ148" s="740"/>
      <c r="CK148" s="740"/>
      <c r="CL148" s="740"/>
      <c r="CM148" s="740"/>
      <c r="CN148" s="740"/>
      <c r="CO148" s="740"/>
      <c r="CP148" s="740"/>
      <c r="CQ148" s="740"/>
      <c r="CR148" s="740"/>
      <c r="CS148" s="740"/>
      <c r="CT148" s="740"/>
      <c r="CU148" s="740"/>
      <c r="CV148" s="740"/>
      <c r="CW148" s="740"/>
      <c r="CX148" s="740"/>
      <c r="CY148" s="740"/>
      <c r="CZ148" s="740"/>
      <c r="DA148" s="740"/>
      <c r="DB148" s="740"/>
      <c r="DC148" s="740"/>
      <c r="DD148" s="740"/>
      <c r="DE148" s="740"/>
      <c r="DF148" s="740"/>
      <c r="DG148" s="740"/>
      <c r="DH148" s="740"/>
      <c r="DI148" s="740"/>
      <c r="DJ148" s="740"/>
      <c r="DK148" s="740"/>
      <c r="DL148" s="740"/>
      <c r="DM148" s="740"/>
      <c r="DN148" s="740"/>
      <c r="DO148" s="740"/>
      <c r="DP148" s="740"/>
      <c r="DQ148" s="740"/>
      <c r="DR148" s="740"/>
      <c r="DS148" s="740"/>
      <c r="DT148" s="740"/>
      <c r="DU148" s="740"/>
      <c r="DV148" s="740"/>
      <c r="DW148" s="740"/>
      <c r="DX148" s="740"/>
      <c r="DY148" s="740"/>
      <c r="DZ148" s="740"/>
      <c r="EA148" s="740"/>
      <c r="EB148" s="740"/>
      <c r="EC148" s="740"/>
      <c r="ED148" s="740"/>
      <c r="EE148" s="740"/>
      <c r="EF148" s="740"/>
      <c r="EG148" s="740"/>
      <c r="EH148" s="740"/>
      <c r="EI148" s="740"/>
      <c r="EJ148" s="740"/>
      <c r="EK148" s="740"/>
      <c r="EL148" s="740"/>
      <c r="EM148" s="740"/>
      <c r="EN148" s="740"/>
      <c r="EO148" s="740"/>
      <c r="EP148" s="740"/>
      <c r="EQ148" s="740"/>
      <c r="ER148" s="740"/>
      <c r="ES148" s="740"/>
      <c r="ET148" s="740"/>
      <c r="EU148" s="740"/>
      <c r="EV148" s="740"/>
      <c r="EW148" s="740"/>
      <c r="EX148" s="740"/>
      <c r="EY148" s="740"/>
      <c r="EZ148" s="740"/>
      <c r="FA148" s="740"/>
      <c r="FB148" s="740"/>
      <c r="FC148" s="740"/>
      <c r="FD148" s="740"/>
      <c r="FE148" s="740"/>
      <c r="FF148" s="740"/>
      <c r="FG148" s="740"/>
      <c r="FH148" s="740"/>
      <c r="FI148" s="740"/>
      <c r="FJ148" s="740"/>
      <c r="FK148" s="740"/>
      <c r="FL148" s="740"/>
      <c r="FM148" s="740"/>
      <c r="FN148" s="740"/>
      <c r="FO148" s="740"/>
      <c r="FP148" s="740"/>
      <c r="FQ148" s="740"/>
      <c r="FR148" s="740"/>
      <c r="FS148" s="740"/>
      <c r="FT148" s="740"/>
      <c r="FU148" s="740"/>
      <c r="FV148" s="740"/>
      <c r="FW148" s="740"/>
      <c r="FX148" s="740"/>
      <c r="FY148" s="740"/>
      <c r="FZ148" s="740"/>
      <c r="GA148" s="740"/>
      <c r="GB148" s="740"/>
      <c r="GC148" s="740"/>
      <c r="GD148" s="740"/>
      <c r="GE148" s="740"/>
      <c r="GF148" s="740"/>
      <c r="GG148" s="740"/>
      <c r="GH148" s="740"/>
      <c r="GI148" s="740"/>
      <c r="GJ148" s="740"/>
      <c r="GK148" s="740"/>
      <c r="GL148" s="740"/>
      <c r="GM148" s="740"/>
      <c r="GN148" s="740"/>
      <c r="GO148" s="740"/>
      <c r="GP148" s="740"/>
      <c r="GQ148" s="740"/>
      <c r="GR148" s="740"/>
      <c r="GS148" s="740"/>
      <c r="GT148" s="740"/>
      <c r="GU148" s="740"/>
      <c r="GV148" s="740"/>
      <c r="GW148" s="740"/>
    </row>
    <row r="149" spans="1:205" ht="24" customHeight="1" x14ac:dyDescent="0.25">
      <c r="A149" s="2503"/>
      <c r="E149" s="2354" t="s">
        <v>416</v>
      </c>
      <c r="F149" s="2314"/>
      <c r="G149" s="2314"/>
      <c r="H149" s="3051">
        <f>Preise!$N$52</f>
        <v>42.265000000000001</v>
      </c>
      <c r="I149" s="2314" t="s">
        <v>1013</v>
      </c>
      <c r="J149" s="2314"/>
      <c r="K149" s="3796">
        <v>15</v>
      </c>
      <c r="L149" s="2803"/>
      <c r="M149" s="2804">
        <f>H149*K149/100</f>
        <v>6.3397500000000004</v>
      </c>
      <c r="N149" s="2803"/>
      <c r="O149" s="3796">
        <v>15</v>
      </c>
      <c r="P149" s="2803"/>
      <c r="Q149" s="2804">
        <f>H149*O149/100</f>
        <v>6.3397500000000004</v>
      </c>
      <c r="R149" s="2811"/>
      <c r="T149" s="740"/>
      <c r="U149" s="740"/>
      <c r="V149" s="740"/>
      <c r="W149" s="740"/>
      <c r="X149" s="740"/>
      <c r="Y149" s="740"/>
      <c r="Z149" s="740"/>
      <c r="AA149" s="739"/>
      <c r="AB149" s="189"/>
      <c r="AI149" s="189"/>
      <c r="AJ149" s="810" t="s">
        <v>493</v>
      </c>
      <c r="AK149" s="189"/>
      <c r="AL149" s="189"/>
      <c r="AM149" s="189"/>
      <c r="AN149" s="291"/>
      <c r="AO149" s="189"/>
      <c r="AP149" s="687"/>
      <c r="AQ149" s="189"/>
      <c r="AR149" s="687"/>
      <c r="AS149" s="189"/>
      <c r="AT149" s="687"/>
      <c r="AU149" s="189"/>
      <c r="AV149" s="687"/>
      <c r="AW149" s="740"/>
      <c r="AX149" s="740"/>
      <c r="AY149" s="740"/>
      <c r="AZ149" s="740"/>
      <c r="BA149" s="740"/>
      <c r="BB149" s="740"/>
      <c r="BC149" s="740"/>
      <c r="BD149" s="740"/>
      <c r="BE149" s="740"/>
      <c r="BF149" s="740"/>
      <c r="BG149" s="740"/>
      <c r="BH149" s="740"/>
      <c r="BI149" s="740"/>
      <c r="BJ149" s="740"/>
      <c r="BK149" s="740"/>
      <c r="BL149" s="740"/>
      <c r="BM149" s="740"/>
      <c r="BN149" s="740"/>
      <c r="BO149" s="740"/>
      <c r="BP149" s="740"/>
      <c r="BQ149" s="740"/>
      <c r="BR149" s="740"/>
      <c r="BS149" s="740"/>
      <c r="BT149" s="740"/>
      <c r="BU149" s="740"/>
      <c r="BV149" s="740"/>
      <c r="BW149" s="740"/>
      <c r="BX149" s="740"/>
      <c r="BY149" s="740"/>
      <c r="BZ149" s="740"/>
      <c r="CA149" s="740"/>
      <c r="CB149" s="740"/>
      <c r="CC149" s="740"/>
      <c r="CD149" s="740"/>
      <c r="CE149" s="740"/>
      <c r="CF149" s="740"/>
      <c r="CG149" s="740"/>
      <c r="CH149" s="740"/>
      <c r="CI149" s="740"/>
      <c r="CJ149" s="740"/>
      <c r="CK149" s="740"/>
      <c r="CL149" s="740"/>
      <c r="CM149" s="740"/>
      <c r="CN149" s="740"/>
      <c r="CO149" s="740"/>
      <c r="CP149" s="740"/>
      <c r="CQ149" s="740"/>
      <c r="CR149" s="740"/>
      <c r="CS149" s="740"/>
      <c r="CT149" s="740"/>
      <c r="CU149" s="740"/>
      <c r="CV149" s="740"/>
      <c r="CW149" s="740"/>
      <c r="CX149" s="740"/>
      <c r="CY149" s="740"/>
      <c r="CZ149" s="740"/>
      <c r="DA149" s="740"/>
      <c r="DB149" s="740"/>
      <c r="DC149" s="740"/>
      <c r="DD149" s="740"/>
      <c r="DE149" s="740"/>
      <c r="DF149" s="740"/>
      <c r="DG149" s="740"/>
      <c r="DH149" s="740"/>
      <c r="DI149" s="740"/>
      <c r="DJ149" s="740"/>
      <c r="DK149" s="740"/>
      <c r="DL149" s="740"/>
      <c r="DM149" s="740"/>
      <c r="DN149" s="740"/>
      <c r="DO149" s="740"/>
      <c r="DP149" s="740"/>
      <c r="DQ149" s="740"/>
      <c r="DR149" s="740"/>
      <c r="DS149" s="740"/>
      <c r="DT149" s="740"/>
      <c r="DU149" s="740"/>
      <c r="DV149" s="740"/>
      <c r="DW149" s="740"/>
      <c r="DX149" s="740"/>
      <c r="DY149" s="740"/>
      <c r="DZ149" s="740"/>
      <c r="EA149" s="740"/>
      <c r="EB149" s="740"/>
      <c r="EC149" s="740"/>
      <c r="ED149" s="740"/>
      <c r="EE149" s="740"/>
      <c r="EF149" s="740"/>
      <c r="EG149" s="740"/>
      <c r="EH149" s="740"/>
      <c r="EI149" s="740"/>
      <c r="EJ149" s="740"/>
      <c r="EK149" s="740"/>
      <c r="EL149" s="740"/>
      <c r="EM149" s="740"/>
      <c r="EN149" s="740"/>
      <c r="EO149" s="740"/>
      <c r="EP149" s="740"/>
      <c r="EQ149" s="740"/>
      <c r="ER149" s="740"/>
      <c r="ES149" s="740"/>
      <c r="ET149" s="740"/>
      <c r="EU149" s="740"/>
      <c r="EV149" s="740"/>
      <c r="EW149" s="740"/>
      <c r="EX149" s="740"/>
      <c r="EY149" s="740"/>
      <c r="EZ149" s="740"/>
      <c r="FA149" s="740"/>
      <c r="FB149" s="740"/>
      <c r="FC149" s="740"/>
      <c r="FD149" s="740"/>
      <c r="FE149" s="740"/>
      <c r="FF149" s="740"/>
      <c r="FG149" s="740"/>
      <c r="FH149" s="740"/>
      <c r="FI149" s="740"/>
      <c r="FJ149" s="740"/>
      <c r="FK149" s="740"/>
      <c r="FL149" s="740"/>
      <c r="FM149" s="740"/>
      <c r="FN149" s="740"/>
      <c r="FO149" s="740"/>
      <c r="FP149" s="740"/>
      <c r="FQ149" s="740"/>
      <c r="FR149" s="740"/>
      <c r="FS149" s="740"/>
      <c r="FT149" s="740"/>
      <c r="FU149" s="740"/>
      <c r="FV149" s="740"/>
      <c r="FW149" s="740"/>
      <c r="FX149" s="740"/>
      <c r="FY149" s="740"/>
      <c r="FZ149" s="740"/>
      <c r="GA149" s="740"/>
      <c r="GB149" s="740"/>
      <c r="GC149" s="740"/>
      <c r="GD149" s="740"/>
      <c r="GE149" s="740"/>
      <c r="GF149" s="740"/>
      <c r="GG149" s="740"/>
      <c r="GH149" s="740"/>
      <c r="GI149" s="740"/>
      <c r="GJ149" s="740"/>
      <c r="GK149" s="740"/>
      <c r="GL149" s="740"/>
      <c r="GM149" s="740"/>
      <c r="GN149" s="740"/>
      <c r="GO149" s="740"/>
      <c r="GP149" s="740"/>
      <c r="GQ149" s="740"/>
      <c r="GR149" s="740"/>
      <c r="GS149" s="740"/>
      <c r="GT149" s="740"/>
      <c r="GU149" s="740"/>
      <c r="GV149" s="740"/>
      <c r="GW149" s="740"/>
    </row>
    <row r="150" spans="1:205" ht="24" customHeight="1" x14ac:dyDescent="0.25">
      <c r="A150" s="2503"/>
      <c r="E150" s="2805"/>
      <c r="F150" s="2806"/>
      <c r="G150" s="2806"/>
      <c r="H150" s="2812"/>
      <c r="I150" s="2806" t="s">
        <v>1013</v>
      </c>
      <c r="J150" s="2806"/>
      <c r="K150" s="3797"/>
      <c r="L150" s="1328"/>
      <c r="M150" s="2808">
        <f>H150*K150</f>
        <v>0</v>
      </c>
      <c r="N150" s="1328"/>
      <c r="O150" s="3797"/>
      <c r="P150" s="1328"/>
      <c r="Q150" s="2808">
        <f>H150*O150</f>
        <v>0</v>
      </c>
      <c r="R150" s="2809"/>
      <c r="T150" s="740"/>
      <c r="U150" s="740"/>
      <c r="V150" s="740"/>
      <c r="W150" s="740"/>
      <c r="X150" s="740"/>
      <c r="Y150" s="740"/>
      <c r="Z150" s="740"/>
      <c r="AA150" s="739"/>
      <c r="AB150" s="189"/>
      <c r="AI150" s="812" t="s">
        <v>496</v>
      </c>
      <c r="AJ150" s="153" t="s">
        <v>490</v>
      </c>
      <c r="AK150" s="178"/>
      <c r="AL150" s="178"/>
      <c r="AM150" s="178"/>
      <c r="AN150" s="639"/>
      <c r="AO150" s="178"/>
      <c r="AP150" s="798"/>
      <c r="AQ150" s="178"/>
      <c r="AR150" s="798"/>
      <c r="AS150" s="178"/>
      <c r="AT150" s="798"/>
      <c r="AU150" s="178"/>
      <c r="AV150" s="798"/>
      <c r="AW150" s="781"/>
      <c r="AX150" s="781"/>
      <c r="AY150" s="782"/>
      <c r="AZ150" s="740"/>
      <c r="BA150" s="740"/>
      <c r="BB150" s="740"/>
      <c r="BC150" s="740"/>
      <c r="BD150" s="740"/>
      <c r="BE150" s="740"/>
      <c r="BF150" s="740"/>
      <c r="BG150" s="740"/>
      <c r="BH150" s="740"/>
      <c r="BI150" s="740"/>
      <c r="BJ150" s="740"/>
      <c r="BK150" s="740"/>
      <c r="BL150" s="740"/>
      <c r="BM150" s="740"/>
      <c r="BN150" s="740"/>
      <c r="BO150" s="740"/>
      <c r="BP150" s="740"/>
      <c r="BQ150" s="740"/>
      <c r="BR150" s="740"/>
      <c r="BS150" s="740"/>
      <c r="BT150" s="740"/>
      <c r="BU150" s="740"/>
      <c r="BV150" s="740"/>
      <c r="BW150" s="740"/>
      <c r="BX150" s="740"/>
      <c r="BY150" s="740"/>
      <c r="BZ150" s="740"/>
      <c r="CA150" s="740"/>
      <c r="CB150" s="740"/>
      <c r="CC150" s="740"/>
      <c r="CD150" s="740"/>
      <c r="CE150" s="740"/>
      <c r="CF150" s="740"/>
      <c r="CG150" s="740"/>
      <c r="CH150" s="740"/>
      <c r="CI150" s="740"/>
      <c r="CJ150" s="740"/>
      <c r="CK150" s="740"/>
      <c r="CL150" s="740"/>
      <c r="CM150" s="740"/>
      <c r="CN150" s="740"/>
      <c r="CO150" s="740"/>
      <c r="CP150" s="740"/>
      <c r="CQ150" s="740"/>
      <c r="CR150" s="740"/>
      <c r="CS150" s="740"/>
      <c r="CT150" s="740"/>
      <c r="CU150" s="740"/>
      <c r="CV150" s="740"/>
      <c r="CW150" s="740"/>
      <c r="CX150" s="740"/>
      <c r="CY150" s="740"/>
      <c r="CZ150" s="740"/>
      <c r="DA150" s="740"/>
      <c r="DB150" s="740"/>
      <c r="DC150" s="740"/>
      <c r="DD150" s="740"/>
      <c r="DE150" s="740"/>
      <c r="DF150" s="740"/>
      <c r="DG150" s="740"/>
      <c r="DH150" s="740"/>
      <c r="DI150" s="740"/>
      <c r="DJ150" s="740"/>
      <c r="DK150" s="740"/>
      <c r="DL150" s="740"/>
      <c r="DM150" s="740"/>
      <c r="DN150" s="740"/>
      <c r="DO150" s="740"/>
      <c r="DP150" s="740"/>
      <c r="DQ150" s="740"/>
      <c r="DR150" s="740"/>
      <c r="DS150" s="740"/>
      <c r="DT150" s="740"/>
      <c r="DU150" s="740"/>
      <c r="DV150" s="740"/>
      <c r="DW150" s="740"/>
      <c r="DX150" s="740"/>
      <c r="DY150" s="740"/>
      <c r="DZ150" s="740"/>
      <c r="EA150" s="740"/>
      <c r="EB150" s="740"/>
      <c r="EC150" s="740"/>
      <c r="ED150" s="740"/>
      <c r="EE150" s="740"/>
      <c r="EF150" s="740"/>
      <c r="EG150" s="740"/>
      <c r="EH150" s="740"/>
      <c r="EI150" s="740"/>
      <c r="EJ150" s="740"/>
      <c r="EK150" s="740"/>
      <c r="EL150" s="740"/>
      <c r="EM150" s="740"/>
      <c r="EN150" s="740"/>
      <c r="EO150" s="740"/>
      <c r="EP150" s="740"/>
      <c r="EQ150" s="740"/>
      <c r="ER150" s="740"/>
      <c r="ES150" s="740"/>
      <c r="ET150" s="740"/>
      <c r="EU150" s="740"/>
      <c r="EV150" s="740"/>
      <c r="EW150" s="740"/>
      <c r="EX150" s="740"/>
      <c r="EY150" s="740"/>
      <c r="EZ150" s="740"/>
      <c r="FA150" s="740"/>
      <c r="FB150" s="740"/>
      <c r="FC150" s="740"/>
      <c r="FD150" s="740"/>
      <c r="FE150" s="740"/>
      <c r="FF150" s="740"/>
      <c r="FG150" s="740"/>
      <c r="FH150" s="740"/>
      <c r="FI150" s="740"/>
      <c r="FJ150" s="740"/>
      <c r="FK150" s="740"/>
      <c r="FL150" s="740"/>
      <c r="FM150" s="740"/>
      <c r="FN150" s="740"/>
      <c r="FO150" s="740"/>
      <c r="FP150" s="740"/>
      <c r="FQ150" s="740"/>
      <c r="FR150" s="740"/>
      <c r="FS150" s="740"/>
      <c r="FT150" s="740"/>
      <c r="FU150" s="740"/>
      <c r="FV150" s="740"/>
      <c r="FW150" s="740"/>
      <c r="FX150" s="740"/>
      <c r="FY150" s="740"/>
      <c r="FZ150" s="740"/>
      <c r="GA150" s="740"/>
      <c r="GB150" s="740"/>
      <c r="GC150" s="740"/>
      <c r="GD150" s="740"/>
      <c r="GE150" s="740"/>
      <c r="GF150" s="740"/>
      <c r="GG150" s="740"/>
      <c r="GH150" s="740"/>
      <c r="GI150" s="740"/>
      <c r="GJ150" s="740"/>
      <c r="GK150" s="740"/>
      <c r="GL150" s="740"/>
      <c r="GM150" s="740"/>
      <c r="GN150" s="740"/>
      <c r="GO150" s="740"/>
      <c r="GP150" s="740"/>
      <c r="GQ150" s="740"/>
      <c r="GR150" s="740"/>
      <c r="GS150" s="740"/>
      <c r="GT150" s="740"/>
      <c r="GU150" s="740"/>
      <c r="GV150" s="740"/>
      <c r="GW150" s="740"/>
    </row>
    <row r="151" spans="1:205" ht="24" customHeight="1" x14ac:dyDescent="0.25">
      <c r="A151" s="2503"/>
      <c r="E151" s="2354" t="s">
        <v>417</v>
      </c>
      <c r="F151" s="2314"/>
      <c r="G151" s="2314"/>
      <c r="H151" s="2813">
        <f>Preise!$N$53</f>
        <v>14.98</v>
      </c>
      <c r="I151" s="2314" t="s">
        <v>1013</v>
      </c>
      <c r="J151" s="2314"/>
      <c r="K151" s="3798">
        <v>5</v>
      </c>
      <c r="L151" s="2814"/>
      <c r="M151" s="2804">
        <f>H151*K151/100</f>
        <v>0.74900000000000011</v>
      </c>
      <c r="N151" s="2803"/>
      <c r="O151" s="3798">
        <v>10</v>
      </c>
      <c r="P151" s="2814"/>
      <c r="Q151" s="2804">
        <f>H151*O151/100</f>
        <v>1.4980000000000002</v>
      </c>
      <c r="R151" s="2811"/>
      <c r="T151" s="988" t="s">
        <v>1285</v>
      </c>
      <c r="U151" s="740"/>
      <c r="V151" s="740"/>
      <c r="W151" s="740"/>
      <c r="X151" s="740"/>
      <c r="Y151" s="740"/>
      <c r="Z151" s="740"/>
      <c r="AA151" s="739"/>
      <c r="AB151" s="189"/>
      <c r="AI151" s="811" t="s">
        <v>495</v>
      </c>
      <c r="AJ151" s="468" t="s">
        <v>440</v>
      </c>
      <c r="AK151" s="189"/>
      <c r="AL151" s="189"/>
      <c r="AM151" s="189"/>
      <c r="AN151" s="291"/>
      <c r="AO151" s="189"/>
      <c r="AP151" s="687"/>
      <c r="AQ151" s="189"/>
      <c r="AR151" s="687"/>
      <c r="AS151" s="189"/>
      <c r="AT151" s="687"/>
      <c r="AU151" s="189"/>
      <c r="AV151" s="687"/>
      <c r="AW151" s="796"/>
      <c r="AX151" s="796"/>
      <c r="AY151" s="797"/>
      <c r="AZ151" s="740"/>
      <c r="BA151" s="740"/>
      <c r="BB151" s="740"/>
      <c r="BC151" s="740"/>
      <c r="BD151" s="740"/>
      <c r="BE151" s="740"/>
      <c r="BF151" s="740"/>
      <c r="BG151" s="740"/>
      <c r="BH151" s="740"/>
      <c r="BI151" s="740"/>
      <c r="BJ151" s="740"/>
      <c r="BK151" s="740"/>
      <c r="BL151" s="740"/>
      <c r="BM151" s="740"/>
      <c r="BN151" s="740"/>
      <c r="BO151" s="740"/>
      <c r="BP151" s="740"/>
      <c r="BQ151" s="740"/>
      <c r="BR151" s="740"/>
      <c r="BS151" s="740"/>
      <c r="BT151" s="740"/>
      <c r="BU151" s="740"/>
      <c r="BV151" s="740"/>
      <c r="BW151" s="740"/>
      <c r="BX151" s="740"/>
      <c r="BY151" s="740"/>
      <c r="BZ151" s="740"/>
      <c r="CA151" s="740"/>
      <c r="CB151" s="740"/>
      <c r="CC151" s="740"/>
      <c r="CD151" s="740"/>
      <c r="CE151" s="740"/>
      <c r="CF151" s="740"/>
      <c r="CG151" s="740"/>
      <c r="CH151" s="740"/>
      <c r="CI151" s="740"/>
      <c r="CJ151" s="740"/>
      <c r="CK151" s="740"/>
      <c r="CL151" s="740"/>
      <c r="CM151" s="740"/>
      <c r="CN151" s="740"/>
      <c r="CO151" s="740"/>
      <c r="CP151" s="740"/>
      <c r="CQ151" s="740"/>
      <c r="CR151" s="740"/>
      <c r="CS151" s="740"/>
      <c r="CT151" s="740"/>
      <c r="CU151" s="740"/>
      <c r="CV151" s="740"/>
      <c r="CW151" s="740"/>
      <c r="CX151" s="740"/>
      <c r="CY151" s="740"/>
      <c r="CZ151" s="740"/>
      <c r="DA151" s="740"/>
      <c r="DB151" s="740"/>
      <c r="DC151" s="740"/>
      <c r="DD151" s="740"/>
      <c r="DE151" s="740"/>
      <c r="DF151" s="740"/>
      <c r="DG151" s="740"/>
      <c r="DH151" s="740"/>
      <c r="DI151" s="740"/>
      <c r="DJ151" s="740"/>
      <c r="DK151" s="740"/>
      <c r="DL151" s="740"/>
      <c r="DM151" s="740"/>
      <c r="DN151" s="740"/>
      <c r="DO151" s="740"/>
      <c r="DP151" s="740"/>
      <c r="DQ151" s="740"/>
      <c r="DR151" s="740"/>
      <c r="DS151" s="740"/>
      <c r="DT151" s="740"/>
      <c r="DU151" s="740"/>
      <c r="DV151" s="740"/>
      <c r="DW151" s="740"/>
      <c r="DX151" s="740"/>
      <c r="DY151" s="740"/>
      <c r="DZ151" s="740"/>
      <c r="EA151" s="740"/>
      <c r="EB151" s="740"/>
      <c r="EC151" s="740"/>
      <c r="ED151" s="740"/>
      <c r="EE151" s="740"/>
      <c r="EF151" s="740"/>
      <c r="EG151" s="740"/>
      <c r="EH151" s="740"/>
      <c r="EI151" s="740"/>
      <c r="EJ151" s="740"/>
      <c r="EK151" s="740"/>
      <c r="EL151" s="740"/>
      <c r="EM151" s="740"/>
      <c r="EN151" s="740"/>
      <c r="EO151" s="740"/>
      <c r="EP151" s="740"/>
      <c r="EQ151" s="740"/>
      <c r="ER151" s="740"/>
      <c r="ES151" s="740"/>
      <c r="ET151" s="740"/>
      <c r="EU151" s="740"/>
      <c r="EV151" s="740"/>
      <c r="EW151" s="740"/>
      <c r="EX151" s="740"/>
      <c r="EY151" s="740"/>
      <c r="EZ151" s="740"/>
      <c r="FA151" s="740"/>
      <c r="FB151" s="740"/>
      <c r="FC151" s="740"/>
      <c r="FD151" s="740"/>
      <c r="FE151" s="740"/>
      <c r="FF151" s="740"/>
      <c r="FG151" s="740"/>
      <c r="FH151" s="740"/>
      <c r="FI151" s="740"/>
      <c r="FJ151" s="740"/>
      <c r="FK151" s="740"/>
      <c r="FL151" s="740"/>
      <c r="FM151" s="740"/>
      <c r="FN151" s="740"/>
      <c r="FO151" s="740"/>
      <c r="FP151" s="740"/>
      <c r="FQ151" s="740"/>
      <c r="FR151" s="740"/>
      <c r="FS151" s="740"/>
      <c r="FT151" s="740"/>
      <c r="FU151" s="740"/>
      <c r="FV151" s="740"/>
      <c r="FW151" s="740"/>
      <c r="FX151" s="740"/>
      <c r="FY151" s="740"/>
      <c r="FZ151" s="740"/>
      <c r="GA151" s="740"/>
      <c r="GB151" s="740"/>
      <c r="GC151" s="740"/>
      <c r="GD151" s="740"/>
      <c r="GE151" s="740"/>
      <c r="GF151" s="740"/>
      <c r="GG151" s="740"/>
      <c r="GH151" s="740"/>
      <c r="GI151" s="740"/>
      <c r="GJ151" s="740"/>
      <c r="GK151" s="740"/>
      <c r="GL151" s="740"/>
      <c r="GM151" s="740"/>
      <c r="GN151" s="740"/>
      <c r="GO151" s="740"/>
      <c r="GP151" s="740"/>
      <c r="GQ151" s="740"/>
      <c r="GR151" s="740"/>
      <c r="GS151" s="740"/>
      <c r="GT151" s="740"/>
      <c r="GU151" s="740"/>
      <c r="GV151" s="740"/>
      <c r="GW151" s="740"/>
    </row>
    <row r="152" spans="1:205" ht="24" customHeight="1" x14ac:dyDescent="0.25">
      <c r="A152" s="2503"/>
      <c r="E152" s="2805"/>
      <c r="F152" s="2806"/>
      <c r="G152" s="2806"/>
      <c r="H152" s="2806"/>
      <c r="I152" s="2806"/>
      <c r="J152" s="2806"/>
      <c r="K152" s="2805"/>
      <c r="L152" s="2806"/>
      <c r="M152" s="2806">
        <f>H152*K152</f>
        <v>0</v>
      </c>
      <c r="N152" s="1328"/>
      <c r="O152" s="2805"/>
      <c r="P152" s="2806"/>
      <c r="Q152" s="2808">
        <f>H152*O152</f>
        <v>0</v>
      </c>
      <c r="R152" s="2809"/>
      <c r="T152" s="740"/>
      <c r="U152" s="740"/>
      <c r="V152" s="740"/>
      <c r="W152" s="740"/>
      <c r="X152" s="740"/>
      <c r="Y152" s="740"/>
      <c r="Z152" s="740"/>
      <c r="AA152" s="739"/>
      <c r="AB152" s="189"/>
      <c r="AJ152" s="469" t="s">
        <v>442</v>
      </c>
      <c r="AK152" s="190"/>
      <c r="AL152" s="190"/>
      <c r="AM152" s="190"/>
      <c r="AN152" s="418"/>
      <c r="AO152" s="190"/>
      <c r="AP152" s="799"/>
      <c r="AQ152" s="190"/>
      <c r="AR152" s="799"/>
      <c r="AS152" s="190"/>
      <c r="AT152" s="799"/>
      <c r="AU152" s="190"/>
      <c r="AV152" s="799"/>
      <c r="AW152" s="762"/>
      <c r="AX152" s="762"/>
      <c r="AY152" s="784"/>
      <c r="AZ152" s="740"/>
      <c r="BA152" s="740"/>
      <c r="BB152" s="740"/>
      <c r="BC152" s="740"/>
      <c r="BD152" s="740"/>
      <c r="BE152" s="740"/>
      <c r="BF152" s="740"/>
      <c r="BG152" s="740"/>
      <c r="BH152" s="740"/>
      <c r="BI152" s="740"/>
      <c r="BJ152" s="740"/>
      <c r="BK152" s="740"/>
      <c r="BL152" s="740"/>
      <c r="BM152" s="740"/>
      <c r="BN152" s="740"/>
      <c r="BO152" s="740"/>
      <c r="BP152" s="740"/>
      <c r="BQ152" s="740"/>
      <c r="BR152" s="740"/>
      <c r="BS152" s="740"/>
      <c r="BT152" s="740"/>
      <c r="BU152" s="740"/>
      <c r="BV152" s="740"/>
      <c r="BW152" s="740"/>
      <c r="BX152" s="740"/>
      <c r="BY152" s="740"/>
      <c r="BZ152" s="740"/>
      <c r="CA152" s="740"/>
      <c r="CB152" s="740"/>
      <c r="CC152" s="740"/>
      <c r="CD152" s="740"/>
      <c r="CE152" s="740"/>
      <c r="CF152" s="740"/>
      <c r="CG152" s="740"/>
      <c r="CH152" s="740"/>
      <c r="CI152" s="740"/>
      <c r="CJ152" s="740"/>
      <c r="CK152" s="740"/>
      <c r="CL152" s="740"/>
      <c r="CM152" s="740"/>
      <c r="CN152" s="740"/>
      <c r="CO152" s="740"/>
      <c r="CP152" s="740"/>
      <c r="CQ152" s="740"/>
      <c r="CR152" s="740"/>
      <c r="CS152" s="740"/>
      <c r="CT152" s="740"/>
      <c r="CU152" s="740"/>
      <c r="CV152" s="740"/>
      <c r="CW152" s="740"/>
      <c r="CX152" s="740"/>
      <c r="CY152" s="740"/>
      <c r="CZ152" s="740"/>
      <c r="DA152" s="740"/>
      <c r="DB152" s="740"/>
      <c r="DC152" s="740"/>
      <c r="DD152" s="740"/>
      <c r="DE152" s="740"/>
      <c r="DF152" s="740"/>
      <c r="DG152" s="740"/>
      <c r="DH152" s="740"/>
      <c r="DI152" s="740"/>
      <c r="DJ152" s="740"/>
      <c r="DK152" s="740"/>
      <c r="DL152" s="740"/>
      <c r="DM152" s="740"/>
      <c r="DN152" s="740"/>
      <c r="DO152" s="740"/>
      <c r="DP152" s="740"/>
      <c r="DQ152" s="740"/>
      <c r="DR152" s="740"/>
      <c r="DS152" s="740"/>
      <c r="DT152" s="740"/>
      <c r="DU152" s="740"/>
      <c r="DV152" s="740"/>
      <c r="DW152" s="740"/>
      <c r="DX152" s="740"/>
      <c r="DY152" s="740"/>
      <c r="DZ152" s="740"/>
      <c r="EA152" s="740"/>
      <c r="EB152" s="740"/>
      <c r="EC152" s="740"/>
      <c r="ED152" s="740"/>
      <c r="EE152" s="740"/>
      <c r="EF152" s="740"/>
      <c r="EG152" s="740"/>
      <c r="EH152" s="740"/>
      <c r="EI152" s="740"/>
      <c r="EJ152" s="740"/>
      <c r="EK152" s="740"/>
      <c r="EL152" s="740"/>
      <c r="EM152" s="740"/>
      <c r="EN152" s="740"/>
      <c r="EO152" s="740"/>
      <c r="EP152" s="740"/>
      <c r="EQ152" s="740"/>
      <c r="ER152" s="740"/>
      <c r="ES152" s="740"/>
      <c r="ET152" s="740"/>
      <c r="EU152" s="740"/>
      <c r="EV152" s="740"/>
      <c r="EW152" s="740"/>
      <c r="EX152" s="740"/>
      <c r="EY152" s="740"/>
      <c r="EZ152" s="740"/>
      <c r="FA152" s="740"/>
      <c r="FB152" s="740"/>
      <c r="FC152" s="740"/>
      <c r="FD152" s="740"/>
      <c r="FE152" s="740"/>
      <c r="FF152" s="740"/>
      <c r="FG152" s="740"/>
      <c r="FH152" s="740"/>
      <c r="FI152" s="740"/>
      <c r="FJ152" s="740"/>
      <c r="FK152" s="740"/>
      <c r="FL152" s="740"/>
      <c r="FM152" s="740"/>
      <c r="FN152" s="740"/>
      <c r="FO152" s="740"/>
      <c r="FP152" s="740"/>
      <c r="FQ152" s="740"/>
      <c r="FR152" s="740"/>
      <c r="FS152" s="740"/>
      <c r="FT152" s="740"/>
      <c r="FU152" s="740"/>
      <c r="FV152" s="740"/>
      <c r="FW152" s="740"/>
      <c r="FX152" s="740"/>
      <c r="FY152" s="740"/>
      <c r="FZ152" s="740"/>
      <c r="GA152" s="740"/>
      <c r="GB152" s="740"/>
      <c r="GC152" s="740"/>
      <c r="GD152" s="740"/>
      <c r="GE152" s="740"/>
      <c r="GF152" s="740"/>
      <c r="GG152" s="740"/>
      <c r="GH152" s="740"/>
      <c r="GI152" s="740"/>
      <c r="GJ152" s="740"/>
      <c r="GK152" s="740"/>
      <c r="GL152" s="740"/>
      <c r="GM152" s="740"/>
      <c r="GN152" s="740"/>
      <c r="GO152" s="740"/>
      <c r="GP152" s="740"/>
      <c r="GQ152" s="740"/>
      <c r="GR152" s="740"/>
      <c r="GS152" s="740"/>
      <c r="GT152" s="740"/>
      <c r="GU152" s="740"/>
      <c r="GV152" s="740"/>
      <c r="GW152" s="740"/>
    </row>
    <row r="153" spans="1:205" ht="24" customHeight="1" x14ac:dyDescent="0.25">
      <c r="A153" s="2503"/>
      <c r="E153" s="1330" t="s">
        <v>418</v>
      </c>
      <c r="F153" s="2314"/>
      <c r="G153" s="2314"/>
      <c r="H153" s="2314"/>
      <c r="I153" s="2314"/>
      <c r="J153" s="2314"/>
      <c r="K153" s="2354"/>
      <c r="L153" s="2314"/>
      <c r="M153" s="1327" t="s">
        <v>1079</v>
      </c>
      <c r="N153" s="1991"/>
      <c r="O153" s="2354"/>
      <c r="P153" s="2314"/>
      <c r="Q153" s="1327" t="s">
        <v>1079</v>
      </c>
      <c r="R153" s="1991"/>
      <c r="T153" s="740"/>
      <c r="U153" s="740"/>
      <c r="V153" s="740"/>
      <c r="W153" s="740"/>
      <c r="X153" s="740"/>
      <c r="Y153" s="740"/>
      <c r="Z153" s="740"/>
      <c r="AA153" s="739"/>
      <c r="AB153" s="189"/>
      <c r="AI153" s="189"/>
      <c r="AJ153" s="123" t="s">
        <v>443</v>
      </c>
      <c r="AK153" s="189"/>
      <c r="AL153" s="189"/>
      <c r="AM153" s="189"/>
      <c r="AN153" s="291"/>
      <c r="AO153" s="189"/>
      <c r="AP153" s="687"/>
      <c r="AQ153" s="189"/>
      <c r="AR153" s="687"/>
      <c r="AS153" s="189"/>
      <c r="AT153" s="687"/>
      <c r="AU153" s="189"/>
      <c r="AV153" s="687"/>
      <c r="AW153" s="740"/>
      <c r="AX153" s="740"/>
      <c r="AY153" s="740"/>
      <c r="AZ153" s="740"/>
      <c r="BA153" s="740"/>
      <c r="BB153" s="740"/>
      <c r="BC153" s="740"/>
      <c r="BD153" s="740"/>
      <c r="BE153" s="740"/>
      <c r="BF153" s="740"/>
      <c r="BG153" s="740"/>
      <c r="BH153" s="740"/>
      <c r="BI153" s="740"/>
      <c r="BJ153" s="740"/>
      <c r="BK153" s="740"/>
      <c r="BL153" s="740"/>
      <c r="BM153" s="740"/>
      <c r="BN153" s="740"/>
      <c r="BO153" s="740"/>
      <c r="BP153" s="740"/>
      <c r="BQ153" s="740"/>
      <c r="BR153" s="740"/>
      <c r="BS153" s="740"/>
      <c r="BT153" s="740"/>
      <c r="BU153" s="740"/>
      <c r="BV153" s="740"/>
      <c r="BW153" s="740"/>
      <c r="BX153" s="740"/>
      <c r="BY153" s="740"/>
      <c r="BZ153" s="740"/>
      <c r="CA153" s="740"/>
      <c r="CB153" s="740"/>
      <c r="CC153" s="740"/>
      <c r="CD153" s="740"/>
      <c r="CE153" s="740"/>
      <c r="CF153" s="740"/>
      <c r="CG153" s="740"/>
      <c r="CH153" s="740"/>
      <c r="CI153" s="740"/>
      <c r="CJ153" s="740"/>
      <c r="CK153" s="740"/>
      <c r="CL153" s="740"/>
      <c r="CM153" s="740"/>
      <c r="CN153" s="740"/>
      <c r="CO153" s="740"/>
      <c r="CP153" s="740"/>
      <c r="CQ153" s="740"/>
      <c r="CR153" s="740"/>
      <c r="CS153" s="740"/>
      <c r="CT153" s="740"/>
      <c r="CU153" s="740"/>
      <c r="CV153" s="740"/>
      <c r="CW153" s="740"/>
      <c r="CX153" s="740"/>
      <c r="CY153" s="740"/>
      <c r="CZ153" s="740"/>
      <c r="DA153" s="740"/>
      <c r="DB153" s="740"/>
      <c r="DC153" s="740"/>
      <c r="DD153" s="740"/>
      <c r="DE153" s="740"/>
      <c r="DF153" s="740"/>
      <c r="DG153" s="740"/>
      <c r="DH153" s="740"/>
      <c r="DI153" s="740"/>
      <c r="DJ153" s="740"/>
      <c r="DK153" s="740"/>
      <c r="DL153" s="740"/>
      <c r="DM153" s="740"/>
      <c r="DN153" s="740"/>
      <c r="DO153" s="740"/>
      <c r="DP153" s="740"/>
      <c r="DQ153" s="740"/>
      <c r="DR153" s="740"/>
      <c r="DS153" s="740"/>
      <c r="DT153" s="740"/>
      <c r="DU153" s="740"/>
      <c r="DV153" s="740"/>
      <c r="DW153" s="740"/>
      <c r="DX153" s="740"/>
      <c r="DY153" s="740"/>
      <c r="DZ153" s="740"/>
      <c r="EA153" s="740"/>
      <c r="EB153" s="740"/>
      <c r="EC153" s="740"/>
      <c r="ED153" s="740"/>
      <c r="EE153" s="740"/>
      <c r="EF153" s="740"/>
      <c r="EG153" s="740"/>
      <c r="EH153" s="740"/>
      <c r="EI153" s="740"/>
      <c r="EJ153" s="740"/>
      <c r="EK153" s="740"/>
      <c r="EL153" s="740"/>
      <c r="EM153" s="740"/>
      <c r="EN153" s="740"/>
      <c r="EO153" s="740"/>
      <c r="EP153" s="740"/>
      <c r="EQ153" s="740"/>
      <c r="ER153" s="740"/>
      <c r="ES153" s="740"/>
      <c r="ET153" s="740"/>
      <c r="EU153" s="740"/>
      <c r="EV153" s="740"/>
      <c r="EW153" s="740"/>
      <c r="EX153" s="740"/>
      <c r="EY153" s="740"/>
      <c r="EZ153" s="740"/>
      <c r="FA153" s="740"/>
      <c r="FB153" s="740"/>
      <c r="FC153" s="740"/>
      <c r="FD153" s="740"/>
      <c r="FE153" s="740"/>
      <c r="FF153" s="740"/>
      <c r="FG153" s="740"/>
      <c r="FH153" s="740"/>
      <c r="FI153" s="740"/>
      <c r="FJ153" s="740"/>
      <c r="FK153" s="740"/>
      <c r="FL153" s="740"/>
      <c r="FM153" s="740"/>
      <c r="FN153" s="740"/>
      <c r="FO153" s="740"/>
      <c r="FP153" s="740"/>
      <c r="FQ153" s="740"/>
      <c r="FR153" s="740"/>
      <c r="FS153" s="740"/>
      <c r="FT153" s="740"/>
      <c r="FU153" s="740"/>
      <c r="FV153" s="740"/>
      <c r="FW153" s="740"/>
      <c r="FX153" s="740"/>
      <c r="FY153" s="740"/>
      <c r="FZ153" s="740"/>
      <c r="GA153" s="740"/>
      <c r="GB153" s="740"/>
      <c r="GC153" s="740"/>
      <c r="GD153" s="740"/>
      <c r="GE153" s="740"/>
      <c r="GF153" s="740"/>
      <c r="GG153" s="740"/>
      <c r="GH153" s="740"/>
      <c r="GI153" s="740"/>
      <c r="GJ153" s="740"/>
      <c r="GK153" s="740"/>
      <c r="GL153" s="740"/>
      <c r="GM153" s="740"/>
      <c r="GN153" s="740"/>
      <c r="GO153" s="740"/>
      <c r="GP153" s="740"/>
      <c r="GQ153" s="740"/>
      <c r="GR153" s="740"/>
      <c r="GS153" s="740"/>
      <c r="GT153" s="740"/>
      <c r="GU153" s="740"/>
      <c r="GV153" s="740"/>
      <c r="GW153" s="740"/>
    </row>
    <row r="154" spans="1:205" ht="24" customHeight="1" x14ac:dyDescent="0.25">
      <c r="A154" s="2503"/>
      <c r="E154" s="2805" t="s">
        <v>419</v>
      </c>
      <c r="F154" s="2806"/>
      <c r="G154" s="2806"/>
      <c r="H154" s="2806"/>
      <c r="I154" s="2806"/>
      <c r="J154" s="2806"/>
      <c r="K154" s="2805"/>
      <c r="L154" s="2806"/>
      <c r="M154" s="2815">
        <v>7.6693782179432777</v>
      </c>
      <c r="N154" s="1328"/>
      <c r="O154" s="2805"/>
      <c r="P154" s="2806"/>
      <c r="Q154" s="2815">
        <v>7.6693782179432803</v>
      </c>
      <c r="R154" s="2809"/>
      <c r="T154" s="740"/>
      <c r="U154" s="740"/>
      <c r="V154" s="740"/>
      <c r="W154" s="740"/>
      <c r="X154" s="740"/>
      <c r="Y154" s="740"/>
      <c r="Z154" s="740"/>
      <c r="AA154" s="739"/>
      <c r="AB154" s="189"/>
      <c r="AI154" s="189"/>
      <c r="AJ154" s="153" t="s">
        <v>488</v>
      </c>
      <c r="AK154" s="178"/>
      <c r="AL154" s="178"/>
      <c r="AM154" s="178"/>
      <c r="AN154" s="639"/>
      <c r="AO154" s="800" t="s">
        <v>487</v>
      </c>
      <c r="AP154" s="189" t="s">
        <v>444</v>
      </c>
      <c r="AQ154" s="189"/>
      <c r="AR154" s="291" t="s">
        <v>445</v>
      </c>
      <c r="AS154" s="189"/>
      <c r="AT154" s="687" t="s">
        <v>446</v>
      </c>
      <c r="AU154" s="189"/>
      <c r="AV154" s="687" t="s">
        <v>447</v>
      </c>
      <c r="AW154" s="189"/>
      <c r="AX154" s="687" t="s">
        <v>448</v>
      </c>
      <c r="AY154" s="189"/>
      <c r="AZ154" s="740"/>
      <c r="BA154" s="740"/>
      <c r="BB154" s="740"/>
      <c r="BC154" s="740"/>
      <c r="BD154" s="740"/>
      <c r="BE154" s="740"/>
      <c r="BF154" s="740"/>
      <c r="BG154" s="740"/>
      <c r="BH154" s="740"/>
      <c r="BI154" s="740"/>
      <c r="BJ154" s="740"/>
      <c r="BK154" s="740"/>
      <c r="BL154" s="740"/>
      <c r="BM154" s="740"/>
      <c r="BN154" s="740"/>
      <c r="BO154" s="740"/>
      <c r="BP154" s="740"/>
      <c r="BQ154" s="740"/>
      <c r="BR154" s="740"/>
      <c r="BS154" s="740"/>
      <c r="BT154" s="740"/>
      <c r="BU154" s="740"/>
      <c r="BV154" s="740"/>
      <c r="BW154" s="740"/>
      <c r="BX154" s="740"/>
      <c r="BY154" s="740"/>
      <c r="BZ154" s="740"/>
      <c r="CA154" s="740"/>
      <c r="CB154" s="740"/>
      <c r="CC154" s="740"/>
      <c r="CD154" s="740"/>
      <c r="CE154" s="740"/>
      <c r="CF154" s="740"/>
      <c r="CG154" s="740"/>
      <c r="CH154" s="740"/>
      <c r="CI154" s="740"/>
      <c r="CJ154" s="740"/>
      <c r="CK154" s="740"/>
      <c r="CL154" s="740"/>
      <c r="CM154" s="740"/>
      <c r="CN154" s="740"/>
      <c r="CO154" s="740"/>
      <c r="CP154" s="740"/>
      <c r="CQ154" s="740"/>
      <c r="CR154" s="740"/>
      <c r="CS154" s="740"/>
      <c r="CT154" s="740"/>
      <c r="CU154" s="740"/>
      <c r="CV154" s="740"/>
      <c r="CW154" s="740"/>
      <c r="CX154" s="740"/>
      <c r="CY154" s="740"/>
      <c r="CZ154" s="740"/>
      <c r="DA154" s="740"/>
      <c r="DB154" s="740"/>
      <c r="DC154" s="740"/>
      <c r="DD154" s="740"/>
      <c r="DE154" s="740"/>
      <c r="DF154" s="740"/>
      <c r="DG154" s="740"/>
      <c r="DH154" s="740"/>
      <c r="DI154" s="740"/>
      <c r="DJ154" s="740"/>
      <c r="DK154" s="740"/>
      <c r="DL154" s="740"/>
      <c r="DM154" s="740"/>
      <c r="DN154" s="740"/>
      <c r="DO154" s="740"/>
      <c r="DP154" s="740"/>
      <c r="DQ154" s="740"/>
      <c r="DR154" s="740"/>
      <c r="DS154" s="740"/>
      <c r="DT154" s="740"/>
      <c r="DU154" s="740"/>
      <c r="DV154" s="740"/>
      <c r="DW154" s="740"/>
      <c r="DX154" s="740"/>
      <c r="DY154" s="740"/>
      <c r="DZ154" s="740"/>
      <c r="EA154" s="740"/>
      <c r="EB154" s="740"/>
      <c r="EC154" s="740"/>
      <c r="ED154" s="740"/>
      <c r="EE154" s="740"/>
      <c r="EF154" s="740"/>
      <c r="EG154" s="740"/>
      <c r="EH154" s="740"/>
      <c r="EI154" s="740"/>
      <c r="EJ154" s="740"/>
      <c r="EK154" s="740"/>
      <c r="EL154" s="740"/>
      <c r="EM154" s="740"/>
      <c r="EN154" s="740"/>
      <c r="EO154" s="740"/>
      <c r="EP154" s="740"/>
      <c r="EQ154" s="740"/>
      <c r="ER154" s="740"/>
      <c r="ES154" s="740"/>
      <c r="ET154" s="740"/>
      <c r="EU154" s="740"/>
      <c r="EV154" s="740"/>
      <c r="EW154" s="740"/>
      <c r="EX154" s="740"/>
      <c r="EY154" s="740"/>
      <c r="EZ154" s="740"/>
      <c r="FA154" s="740"/>
      <c r="FB154" s="740"/>
      <c r="FC154" s="740"/>
      <c r="FD154" s="740"/>
      <c r="FE154" s="740"/>
      <c r="FF154" s="740"/>
      <c r="FG154" s="740"/>
      <c r="FH154" s="740"/>
      <c r="FI154" s="740"/>
      <c r="FJ154" s="740"/>
      <c r="FK154" s="740"/>
      <c r="FL154" s="740"/>
      <c r="FM154" s="740"/>
      <c r="FN154" s="740"/>
      <c r="FO154" s="740"/>
      <c r="FP154" s="740"/>
      <c r="FQ154" s="740"/>
      <c r="FR154" s="740"/>
      <c r="FS154" s="740"/>
      <c r="FT154" s="740"/>
      <c r="FU154" s="740"/>
      <c r="FV154" s="740"/>
      <c r="FW154" s="740"/>
      <c r="FX154" s="740"/>
      <c r="FY154" s="740"/>
      <c r="FZ154" s="740"/>
      <c r="GA154" s="740"/>
      <c r="GB154" s="740"/>
      <c r="GC154" s="740"/>
      <c r="GD154" s="740"/>
      <c r="GE154" s="740"/>
      <c r="GF154" s="740"/>
      <c r="GG154" s="740"/>
      <c r="GH154" s="740"/>
      <c r="GI154" s="740"/>
      <c r="GJ154" s="740"/>
      <c r="GK154" s="740"/>
      <c r="GL154" s="740"/>
      <c r="GM154" s="740"/>
      <c r="GN154" s="740"/>
      <c r="GO154" s="740"/>
      <c r="GP154" s="740"/>
      <c r="GQ154" s="740"/>
      <c r="GR154" s="740"/>
      <c r="GS154" s="740"/>
      <c r="GT154" s="740"/>
      <c r="GU154" s="740"/>
      <c r="GV154" s="740"/>
      <c r="GW154" s="740"/>
    </row>
    <row r="155" spans="1:205" ht="24" customHeight="1" x14ac:dyDescent="0.25">
      <c r="A155" s="2503"/>
      <c r="E155" s="2354" t="s">
        <v>423</v>
      </c>
      <c r="F155" s="2314"/>
      <c r="G155" s="2314"/>
      <c r="H155" s="2314"/>
      <c r="I155" s="2314"/>
      <c r="J155" s="2314"/>
      <c r="K155" s="2354"/>
      <c r="L155" s="2314"/>
      <c r="M155" s="2816">
        <v>4.0903350495697479</v>
      </c>
      <c r="N155" s="2803"/>
      <c r="O155" s="2354"/>
      <c r="P155" s="2314"/>
      <c r="Q155" s="2816">
        <v>4.0903350495697479</v>
      </c>
      <c r="R155" s="2811"/>
      <c r="T155" s="740"/>
      <c r="U155" s="740"/>
      <c r="V155" s="740"/>
      <c r="W155" s="740"/>
      <c r="X155" s="740"/>
      <c r="Y155" s="740"/>
      <c r="Z155" s="740"/>
      <c r="AA155" s="739"/>
      <c r="AB155" s="189"/>
      <c r="AI155" s="189"/>
      <c r="AJ155" s="468"/>
      <c r="AK155" s="189"/>
      <c r="AL155" s="189"/>
      <c r="AM155" s="189"/>
      <c r="AN155" s="291"/>
      <c r="AO155" s="801"/>
      <c r="AP155" s="189" t="s">
        <v>449</v>
      </c>
      <c r="AQ155" s="189" t="s">
        <v>450</v>
      </c>
      <c r="AR155" s="291" t="s">
        <v>451</v>
      </c>
      <c r="AS155" s="189" t="s">
        <v>450</v>
      </c>
      <c r="AT155" s="687" t="s">
        <v>449</v>
      </c>
      <c r="AU155" s="189" t="s">
        <v>450</v>
      </c>
      <c r="AV155" s="687" t="s">
        <v>449</v>
      </c>
      <c r="AW155" s="189" t="s">
        <v>450</v>
      </c>
      <c r="AX155" s="687" t="s">
        <v>449</v>
      </c>
      <c r="AY155" s="189" t="s">
        <v>450</v>
      </c>
      <c r="AZ155" s="740"/>
      <c r="BA155" s="740"/>
      <c r="BB155" s="740"/>
      <c r="BC155" s="740"/>
      <c r="BD155" s="740"/>
      <c r="BE155" s="740"/>
      <c r="BF155" s="740"/>
      <c r="BG155" s="740"/>
      <c r="BH155" s="740"/>
      <c r="BI155" s="740"/>
      <c r="BJ155" s="740"/>
      <c r="BK155" s="740"/>
      <c r="BL155" s="740"/>
      <c r="BM155" s="740"/>
      <c r="BN155" s="740"/>
      <c r="BO155" s="740"/>
      <c r="BP155" s="740"/>
      <c r="BQ155" s="740"/>
      <c r="BR155" s="740"/>
      <c r="BS155" s="740"/>
      <c r="BT155" s="740"/>
      <c r="BU155" s="740"/>
      <c r="BV155" s="740"/>
      <c r="BW155" s="740"/>
      <c r="BX155" s="740"/>
      <c r="BY155" s="740"/>
      <c r="BZ155" s="740"/>
      <c r="CA155" s="740"/>
      <c r="CB155" s="740"/>
      <c r="CC155" s="740"/>
      <c r="CD155" s="740"/>
      <c r="CE155" s="740"/>
      <c r="CF155" s="740"/>
      <c r="CG155" s="740"/>
      <c r="CH155" s="740"/>
      <c r="CI155" s="740"/>
      <c r="CJ155" s="740"/>
      <c r="CK155" s="740"/>
      <c r="CL155" s="740"/>
      <c r="CM155" s="740"/>
      <c r="CN155" s="740"/>
      <c r="CO155" s="740"/>
      <c r="CP155" s="740"/>
      <c r="CQ155" s="740"/>
      <c r="CR155" s="740"/>
      <c r="CS155" s="740"/>
      <c r="CT155" s="740"/>
      <c r="CU155" s="740"/>
      <c r="CV155" s="740"/>
      <c r="CW155" s="740"/>
      <c r="CX155" s="740"/>
      <c r="CY155" s="740"/>
      <c r="CZ155" s="740"/>
      <c r="DA155" s="740"/>
      <c r="DB155" s="740"/>
      <c r="DC155" s="740"/>
      <c r="DD155" s="740"/>
      <c r="DE155" s="740"/>
      <c r="DF155" s="740"/>
      <c r="DG155" s="740"/>
      <c r="DH155" s="740"/>
      <c r="DI155" s="740"/>
      <c r="DJ155" s="740"/>
      <c r="DK155" s="740"/>
      <c r="DL155" s="740"/>
      <c r="DM155" s="740"/>
      <c r="DN155" s="740"/>
      <c r="DO155" s="740"/>
      <c r="DP155" s="740"/>
      <c r="DQ155" s="740"/>
      <c r="DR155" s="740"/>
      <c r="DS155" s="740"/>
      <c r="DT155" s="740"/>
      <c r="DU155" s="740"/>
      <c r="DV155" s="740"/>
      <c r="DW155" s="740"/>
      <c r="DX155" s="740"/>
      <c r="DY155" s="740"/>
      <c r="DZ155" s="740"/>
      <c r="EA155" s="740"/>
      <c r="EB155" s="740"/>
      <c r="EC155" s="740"/>
      <c r="ED155" s="740"/>
      <c r="EE155" s="740"/>
      <c r="EF155" s="740"/>
      <c r="EG155" s="740"/>
      <c r="EH155" s="740"/>
      <c r="EI155" s="740"/>
      <c r="EJ155" s="740"/>
      <c r="EK155" s="740"/>
      <c r="EL155" s="740"/>
      <c r="EM155" s="740"/>
      <c r="EN155" s="740"/>
      <c r="EO155" s="740"/>
      <c r="EP155" s="740"/>
      <c r="EQ155" s="740"/>
      <c r="ER155" s="740"/>
      <c r="ES155" s="740"/>
      <c r="ET155" s="740"/>
      <c r="EU155" s="740"/>
      <c r="EV155" s="740"/>
      <c r="EW155" s="740"/>
      <c r="EX155" s="740"/>
      <c r="EY155" s="740"/>
      <c r="EZ155" s="740"/>
      <c r="FA155" s="740"/>
      <c r="FB155" s="740"/>
      <c r="FC155" s="740"/>
      <c r="FD155" s="740"/>
      <c r="FE155" s="740"/>
      <c r="FF155" s="740"/>
      <c r="FG155" s="740"/>
      <c r="FH155" s="740"/>
      <c r="FI155" s="740"/>
      <c r="FJ155" s="740"/>
      <c r="FK155" s="740"/>
      <c r="FL155" s="740"/>
      <c r="FM155" s="740"/>
      <c r="FN155" s="740"/>
      <c r="FO155" s="740"/>
      <c r="FP155" s="740"/>
      <c r="FQ155" s="740"/>
      <c r="FR155" s="740"/>
      <c r="FS155" s="740"/>
      <c r="FT155" s="740"/>
      <c r="FU155" s="740"/>
      <c r="FV155" s="740"/>
      <c r="FW155" s="740"/>
      <c r="FX155" s="740"/>
      <c r="FY155" s="740"/>
      <c r="FZ155" s="740"/>
      <c r="GA155" s="740"/>
      <c r="GB155" s="740"/>
      <c r="GC155" s="740"/>
      <c r="GD155" s="740"/>
      <c r="GE155" s="740"/>
      <c r="GF155" s="740"/>
      <c r="GG155" s="740"/>
      <c r="GH155" s="740"/>
      <c r="GI155" s="740"/>
      <c r="GJ155" s="740"/>
      <c r="GK155" s="740"/>
      <c r="GL155" s="740"/>
      <c r="GM155" s="740"/>
      <c r="GN155" s="740"/>
      <c r="GO155" s="740"/>
      <c r="GP155" s="740"/>
      <c r="GQ155" s="740"/>
      <c r="GR155" s="740"/>
      <c r="GS155" s="740"/>
      <c r="GT155" s="740"/>
      <c r="GU155" s="740"/>
      <c r="GV155" s="740"/>
      <c r="GW155" s="740"/>
    </row>
    <row r="156" spans="1:205" ht="24" customHeight="1" x14ac:dyDescent="0.25">
      <c r="A156" s="2503"/>
      <c r="E156" s="2805" t="s">
        <v>424</v>
      </c>
      <c r="F156" s="2806"/>
      <c r="G156" s="2806"/>
      <c r="H156" s="2806"/>
      <c r="I156" s="2806"/>
      <c r="J156" s="2806"/>
      <c r="K156" s="2805"/>
      <c r="L156" s="2806"/>
      <c r="M156" s="2815">
        <v>10.22583762392437</v>
      </c>
      <c r="N156" s="1328"/>
      <c r="O156" s="2805"/>
      <c r="P156" s="2806"/>
      <c r="Q156" s="2815">
        <v>10.22583762392437</v>
      </c>
      <c r="R156" s="2809"/>
      <c r="T156" s="740"/>
      <c r="U156" s="740"/>
      <c r="V156" s="740"/>
      <c r="W156" s="740"/>
      <c r="X156" s="740"/>
      <c r="Y156" s="740"/>
      <c r="Z156" s="740"/>
      <c r="AA156" s="739"/>
      <c r="AB156" s="189"/>
      <c r="AI156" s="189"/>
      <c r="AJ156" s="468" t="s">
        <v>452</v>
      </c>
      <c r="AK156" s="189"/>
      <c r="AL156" s="189"/>
      <c r="AM156" s="189"/>
      <c r="AN156" s="291"/>
      <c r="AO156" s="801"/>
      <c r="AP156" s="189"/>
      <c r="AQ156" s="291"/>
      <c r="AR156" s="189"/>
      <c r="AS156" s="687"/>
      <c r="AT156" s="189"/>
      <c r="AU156" s="687"/>
      <c r="AV156" s="189"/>
      <c r="AW156" s="687"/>
      <c r="AX156" s="189"/>
      <c r="AY156" s="687"/>
      <c r="AZ156" s="740"/>
      <c r="BA156" s="740"/>
      <c r="BB156" s="740"/>
      <c r="BC156" s="740"/>
      <c r="BD156" s="740"/>
      <c r="BE156" s="740"/>
      <c r="BF156" s="740"/>
      <c r="BG156" s="740"/>
      <c r="BH156" s="740"/>
      <c r="BI156" s="740"/>
      <c r="BJ156" s="740"/>
      <c r="BK156" s="740"/>
      <c r="BL156" s="740"/>
      <c r="BM156" s="740"/>
      <c r="BN156" s="740"/>
      <c r="BO156" s="740"/>
      <c r="BP156" s="740"/>
      <c r="BQ156" s="740"/>
      <c r="BR156" s="740"/>
      <c r="BS156" s="740"/>
      <c r="BT156" s="740"/>
      <c r="BU156" s="740"/>
      <c r="BV156" s="740"/>
      <c r="BW156" s="740"/>
      <c r="BX156" s="740"/>
      <c r="BY156" s="740"/>
      <c r="BZ156" s="740"/>
      <c r="CA156" s="740"/>
      <c r="CB156" s="740"/>
      <c r="CC156" s="740"/>
      <c r="CD156" s="740"/>
      <c r="CE156" s="740"/>
      <c r="CF156" s="740"/>
      <c r="CG156" s="740"/>
      <c r="CH156" s="740"/>
      <c r="CI156" s="740"/>
      <c r="CJ156" s="740"/>
      <c r="CK156" s="740"/>
      <c r="CL156" s="740"/>
      <c r="CM156" s="740"/>
      <c r="CN156" s="740"/>
      <c r="CO156" s="740"/>
      <c r="CP156" s="740"/>
      <c r="CQ156" s="740"/>
      <c r="CR156" s="740"/>
      <c r="CS156" s="740"/>
      <c r="CT156" s="740"/>
      <c r="CU156" s="740"/>
      <c r="CV156" s="740"/>
      <c r="CW156" s="740"/>
      <c r="CX156" s="740"/>
      <c r="CY156" s="740"/>
      <c r="CZ156" s="740"/>
      <c r="DA156" s="740"/>
      <c r="DB156" s="740"/>
      <c r="DC156" s="740"/>
      <c r="DD156" s="740"/>
      <c r="DE156" s="740"/>
      <c r="DF156" s="740"/>
      <c r="DG156" s="740"/>
      <c r="DH156" s="740"/>
      <c r="DI156" s="740"/>
      <c r="DJ156" s="740"/>
      <c r="DK156" s="740"/>
      <c r="DL156" s="740"/>
      <c r="DM156" s="740"/>
      <c r="DN156" s="740"/>
      <c r="DO156" s="740"/>
      <c r="DP156" s="740"/>
      <c r="DQ156" s="740"/>
      <c r="DR156" s="740"/>
      <c r="DS156" s="740"/>
      <c r="DT156" s="740"/>
      <c r="DU156" s="740"/>
      <c r="DV156" s="740"/>
      <c r="DW156" s="740"/>
      <c r="DX156" s="740"/>
      <c r="DY156" s="740"/>
      <c r="DZ156" s="740"/>
      <c r="EA156" s="740"/>
      <c r="EB156" s="740"/>
      <c r="EC156" s="740"/>
      <c r="ED156" s="740"/>
      <c r="EE156" s="740"/>
      <c r="EF156" s="740"/>
      <c r="EG156" s="740"/>
      <c r="EH156" s="740"/>
      <c r="EI156" s="740"/>
      <c r="EJ156" s="740"/>
      <c r="EK156" s="740"/>
      <c r="EL156" s="740"/>
      <c r="EM156" s="740"/>
      <c r="EN156" s="740"/>
      <c r="EO156" s="740"/>
      <c r="EP156" s="740"/>
      <c r="EQ156" s="740"/>
      <c r="ER156" s="740"/>
      <c r="ES156" s="740"/>
      <c r="ET156" s="740"/>
      <c r="EU156" s="740"/>
      <c r="EV156" s="740"/>
      <c r="EW156" s="740"/>
      <c r="EX156" s="740"/>
      <c r="EY156" s="740"/>
      <c r="EZ156" s="740"/>
      <c r="FA156" s="740"/>
      <c r="FB156" s="740"/>
      <c r="FC156" s="740"/>
      <c r="FD156" s="740"/>
      <c r="FE156" s="740"/>
      <c r="FF156" s="740"/>
      <c r="FG156" s="740"/>
      <c r="FH156" s="740"/>
      <c r="FI156" s="740"/>
      <c r="FJ156" s="740"/>
      <c r="FK156" s="740"/>
      <c r="FL156" s="740"/>
      <c r="FM156" s="740"/>
      <c r="FN156" s="740"/>
      <c r="FO156" s="740"/>
      <c r="FP156" s="740"/>
      <c r="FQ156" s="740"/>
      <c r="FR156" s="740"/>
      <c r="FS156" s="740"/>
      <c r="FT156" s="740"/>
      <c r="FU156" s="740"/>
      <c r="FV156" s="740"/>
      <c r="FW156" s="740"/>
      <c r="FX156" s="740"/>
      <c r="FY156" s="740"/>
      <c r="FZ156" s="740"/>
      <c r="GA156" s="740"/>
      <c r="GB156" s="740"/>
      <c r="GC156" s="740"/>
      <c r="GD156" s="740"/>
      <c r="GE156" s="740"/>
      <c r="GF156" s="740"/>
      <c r="GG156" s="740"/>
      <c r="GH156" s="740"/>
      <c r="GI156" s="740"/>
      <c r="GJ156" s="740"/>
      <c r="GK156" s="740"/>
      <c r="GL156" s="740"/>
      <c r="GM156" s="740"/>
      <c r="GN156" s="740"/>
      <c r="GO156" s="740"/>
      <c r="GP156" s="740"/>
      <c r="GQ156" s="740"/>
      <c r="GR156" s="740"/>
      <c r="GS156" s="740"/>
      <c r="GT156" s="740"/>
      <c r="GU156" s="740"/>
      <c r="GV156" s="740"/>
      <c r="GW156" s="740"/>
    </row>
    <row r="157" spans="1:205" ht="24" customHeight="1" x14ac:dyDescent="0.25">
      <c r="A157" s="2503"/>
      <c r="E157" s="2805" t="s">
        <v>68</v>
      </c>
      <c r="F157" s="2806"/>
      <c r="G157" s="2806"/>
      <c r="H157" s="2806"/>
      <c r="I157" s="2806"/>
      <c r="J157" s="2806"/>
      <c r="K157" s="2805"/>
      <c r="L157" s="2806"/>
      <c r="M157" s="2815">
        <v>2.5564594059810926</v>
      </c>
      <c r="N157" s="1328"/>
      <c r="O157" s="2805"/>
      <c r="P157" s="2806"/>
      <c r="Q157" s="2815">
        <v>2.5564594059810926</v>
      </c>
      <c r="R157" s="2809"/>
      <c r="T157" s="740"/>
      <c r="U157" s="740"/>
      <c r="V157" s="740"/>
      <c r="W157" s="740"/>
      <c r="X157" s="740"/>
      <c r="Y157" s="740"/>
      <c r="Z157" s="740"/>
      <c r="AA157" s="739"/>
      <c r="AB157" s="189"/>
      <c r="AI157" s="189"/>
      <c r="AJ157" s="468" t="s">
        <v>453</v>
      </c>
      <c r="AK157" s="189"/>
      <c r="AL157" s="189"/>
      <c r="AM157" s="189"/>
      <c r="AN157" s="291"/>
      <c r="AO157" s="801">
        <v>0.3</v>
      </c>
      <c r="AP157" s="189"/>
      <c r="AQ157" s="291"/>
      <c r="AR157" s="189"/>
      <c r="AS157" s="687"/>
      <c r="AT157" s="189"/>
      <c r="AU157" s="687"/>
      <c r="AV157" s="189"/>
      <c r="AW157" s="687"/>
      <c r="AX157" s="189"/>
      <c r="AY157" s="687"/>
      <c r="AZ157" s="740"/>
      <c r="BA157" s="740"/>
      <c r="BB157" s="740"/>
      <c r="BC157" s="740"/>
      <c r="BD157" s="740"/>
      <c r="BE157" s="740"/>
      <c r="BF157" s="740"/>
      <c r="BG157" s="740"/>
      <c r="BH157" s="740"/>
      <c r="BI157" s="740"/>
      <c r="BJ157" s="740"/>
      <c r="BK157" s="740"/>
      <c r="BL157" s="740"/>
      <c r="BM157" s="740"/>
      <c r="BN157" s="740"/>
      <c r="BO157" s="740"/>
      <c r="BP157" s="740"/>
      <c r="BQ157" s="740"/>
      <c r="BR157" s="740"/>
      <c r="BS157" s="740"/>
      <c r="BT157" s="740"/>
      <c r="BU157" s="740"/>
      <c r="BV157" s="740"/>
      <c r="BW157" s="740"/>
      <c r="BX157" s="740"/>
      <c r="BY157" s="740"/>
      <c r="BZ157" s="740"/>
      <c r="CA157" s="740"/>
      <c r="CB157" s="740"/>
      <c r="CC157" s="740"/>
      <c r="CD157" s="740"/>
      <c r="CE157" s="740"/>
      <c r="CF157" s="740"/>
      <c r="CG157" s="740"/>
      <c r="CH157" s="740"/>
      <c r="CI157" s="740"/>
      <c r="CJ157" s="740"/>
      <c r="CK157" s="740"/>
      <c r="CL157" s="740"/>
      <c r="CM157" s="740"/>
      <c r="CN157" s="740"/>
      <c r="CO157" s="740"/>
      <c r="CP157" s="740"/>
      <c r="CQ157" s="740"/>
      <c r="CR157" s="740"/>
      <c r="CS157" s="740"/>
      <c r="CT157" s="740"/>
      <c r="CU157" s="740"/>
      <c r="CV157" s="740"/>
      <c r="CW157" s="740"/>
      <c r="CX157" s="740"/>
      <c r="CY157" s="740"/>
      <c r="CZ157" s="740"/>
      <c r="DA157" s="740"/>
      <c r="DB157" s="740"/>
      <c r="DC157" s="740"/>
      <c r="DD157" s="740"/>
      <c r="DE157" s="740"/>
      <c r="DF157" s="740"/>
      <c r="DG157" s="740"/>
      <c r="DH157" s="740"/>
      <c r="DI157" s="740"/>
      <c r="DJ157" s="740"/>
      <c r="DK157" s="740"/>
      <c r="DL157" s="740"/>
      <c r="DM157" s="740"/>
      <c r="DN157" s="740"/>
      <c r="DO157" s="740"/>
      <c r="DP157" s="740"/>
      <c r="DQ157" s="740"/>
      <c r="DR157" s="740"/>
      <c r="DS157" s="740"/>
      <c r="DT157" s="740"/>
      <c r="DU157" s="740"/>
      <c r="DV157" s="740"/>
      <c r="DW157" s="740"/>
      <c r="DX157" s="740"/>
      <c r="DY157" s="740"/>
      <c r="DZ157" s="740"/>
      <c r="EA157" s="740"/>
      <c r="EB157" s="740"/>
      <c r="EC157" s="740"/>
      <c r="ED157" s="740"/>
      <c r="EE157" s="740"/>
      <c r="EF157" s="740"/>
      <c r="EG157" s="740"/>
      <c r="EH157" s="740"/>
      <c r="EI157" s="740"/>
      <c r="EJ157" s="740"/>
      <c r="EK157" s="740"/>
      <c r="EL157" s="740"/>
      <c r="EM157" s="740"/>
      <c r="EN157" s="740"/>
      <c r="EO157" s="740"/>
      <c r="EP157" s="740"/>
      <c r="EQ157" s="740"/>
      <c r="ER157" s="740"/>
      <c r="ES157" s="740"/>
      <c r="ET157" s="740"/>
      <c r="EU157" s="740"/>
      <c r="EV157" s="740"/>
      <c r="EW157" s="740"/>
      <c r="EX157" s="740"/>
      <c r="EY157" s="740"/>
      <c r="EZ157" s="740"/>
      <c r="FA157" s="740"/>
      <c r="FB157" s="740"/>
      <c r="FC157" s="740"/>
      <c r="FD157" s="740"/>
      <c r="FE157" s="740"/>
      <c r="FF157" s="740"/>
      <c r="FG157" s="740"/>
      <c r="FH157" s="740"/>
      <c r="FI157" s="740"/>
      <c r="FJ157" s="740"/>
      <c r="FK157" s="740"/>
      <c r="FL157" s="740"/>
      <c r="FM157" s="740"/>
      <c r="FN157" s="740"/>
      <c r="FO157" s="740"/>
      <c r="FP157" s="740"/>
      <c r="FQ157" s="740"/>
      <c r="FR157" s="740"/>
      <c r="FS157" s="740"/>
      <c r="FT157" s="740"/>
      <c r="FU157" s="740"/>
      <c r="FV157" s="740"/>
      <c r="FW157" s="740"/>
      <c r="FX157" s="740"/>
      <c r="FY157" s="740"/>
      <c r="FZ157" s="740"/>
      <c r="GA157" s="740"/>
      <c r="GB157" s="740"/>
      <c r="GC157" s="740"/>
      <c r="GD157" s="740"/>
      <c r="GE157" s="740"/>
      <c r="GF157" s="740"/>
      <c r="GG157" s="740"/>
      <c r="GH157" s="740"/>
      <c r="GI157" s="740"/>
      <c r="GJ157" s="740"/>
      <c r="GK157" s="740"/>
      <c r="GL157" s="740"/>
      <c r="GM157" s="740"/>
      <c r="GN157" s="740"/>
      <c r="GO157" s="740"/>
      <c r="GP157" s="740"/>
      <c r="GQ157" s="740"/>
      <c r="GR157" s="740"/>
      <c r="GS157" s="740"/>
      <c r="GT157" s="740"/>
      <c r="GU157" s="740"/>
      <c r="GV157" s="740"/>
      <c r="GW157" s="740"/>
    </row>
    <row r="158" spans="1:205" ht="24" customHeight="1" x14ac:dyDescent="0.25">
      <c r="A158" s="2503"/>
      <c r="E158" s="1325" t="s">
        <v>999</v>
      </c>
      <c r="F158" s="2319"/>
      <c r="G158" s="2319"/>
      <c r="H158" s="2319"/>
      <c r="I158" s="2319"/>
      <c r="J158" s="2319"/>
      <c r="K158" s="2817"/>
      <c r="L158" s="2319"/>
      <c r="M158" s="3014">
        <f>SUM($M$145:$M$157)</f>
        <v>268.90326029741851</v>
      </c>
      <c r="N158" s="2814"/>
      <c r="O158" s="2817"/>
      <c r="P158" s="2319"/>
      <c r="Q158" s="2818">
        <f>SUM($Q$145:$Q$157)</f>
        <v>221.34176029741849</v>
      </c>
      <c r="R158" s="2819"/>
      <c r="T158" s="740"/>
      <c r="U158" s="740"/>
      <c r="V158" s="740"/>
      <c r="W158" s="740"/>
      <c r="X158" s="740"/>
      <c r="Y158" s="740"/>
      <c r="Z158" s="740"/>
      <c r="AA158" s="739"/>
      <c r="AB158" s="189"/>
      <c r="AI158" s="189"/>
      <c r="AJ158" s="468" t="s">
        <v>454</v>
      </c>
      <c r="AK158" s="189"/>
      <c r="AL158" s="189"/>
      <c r="AM158" s="189"/>
      <c r="AN158" s="291"/>
      <c r="AO158" s="801">
        <v>0.4</v>
      </c>
      <c r="AP158" s="189"/>
      <c r="AQ158" s="291"/>
      <c r="AR158" s="189"/>
      <c r="AS158" s="687"/>
      <c r="AT158" s="189"/>
      <c r="AU158" s="687"/>
      <c r="AV158" s="189"/>
      <c r="AW158" s="687"/>
      <c r="AX158" s="189"/>
      <c r="AY158" s="687"/>
      <c r="AZ158" s="740"/>
      <c r="BA158" s="740"/>
      <c r="BB158" s="740"/>
      <c r="BC158" s="740"/>
      <c r="BD158" s="740"/>
      <c r="BE158" s="740"/>
      <c r="BF158" s="740"/>
      <c r="BG158" s="740"/>
      <c r="BH158" s="740"/>
      <c r="BI158" s="740"/>
      <c r="BJ158" s="740"/>
      <c r="BK158" s="740"/>
      <c r="BL158" s="740"/>
      <c r="BM158" s="740"/>
      <c r="BN158" s="740"/>
      <c r="BO158" s="740"/>
      <c r="BP158" s="740"/>
      <c r="BQ158" s="740"/>
      <c r="BR158" s="740"/>
      <c r="BS158" s="740"/>
      <c r="BT158" s="740"/>
      <c r="BU158" s="740"/>
      <c r="BV158" s="740"/>
      <c r="BW158" s="740"/>
      <c r="BX158" s="740"/>
      <c r="BY158" s="740"/>
      <c r="BZ158" s="740"/>
      <c r="CA158" s="740"/>
      <c r="CB158" s="740"/>
      <c r="CC158" s="740"/>
      <c r="CD158" s="740"/>
      <c r="CE158" s="740"/>
      <c r="CF158" s="740"/>
      <c r="CG158" s="740"/>
      <c r="CH158" s="740"/>
      <c r="CI158" s="740"/>
      <c r="CJ158" s="740"/>
      <c r="CK158" s="740"/>
      <c r="CL158" s="740"/>
      <c r="CM158" s="740"/>
      <c r="CN158" s="740"/>
      <c r="CO158" s="740"/>
      <c r="CP158" s="740"/>
      <c r="CQ158" s="740"/>
      <c r="CR158" s="740"/>
      <c r="CS158" s="740"/>
      <c r="CT158" s="740"/>
      <c r="CU158" s="740"/>
      <c r="CV158" s="740"/>
      <c r="CW158" s="740"/>
      <c r="CX158" s="740"/>
      <c r="CY158" s="740"/>
      <c r="CZ158" s="740"/>
      <c r="DA158" s="740"/>
      <c r="DB158" s="740"/>
      <c r="DC158" s="740"/>
      <c r="DD158" s="740"/>
      <c r="DE158" s="740"/>
      <c r="DF158" s="740"/>
      <c r="DG158" s="740"/>
      <c r="DH158" s="740"/>
      <c r="DI158" s="740"/>
      <c r="DJ158" s="740"/>
      <c r="DK158" s="740"/>
      <c r="DL158" s="740"/>
      <c r="DM158" s="740"/>
      <c r="DN158" s="740"/>
      <c r="DO158" s="740"/>
      <c r="DP158" s="740"/>
      <c r="DQ158" s="740"/>
      <c r="DR158" s="740"/>
      <c r="DS158" s="740"/>
      <c r="DT158" s="740"/>
      <c r="DU158" s="740"/>
      <c r="DV158" s="740"/>
      <c r="DW158" s="740"/>
      <c r="DX158" s="740"/>
      <c r="DY158" s="740"/>
      <c r="DZ158" s="740"/>
      <c r="EA158" s="740"/>
      <c r="EB158" s="740"/>
      <c r="EC158" s="740"/>
      <c r="ED158" s="740"/>
      <c r="EE158" s="740"/>
      <c r="EF158" s="740"/>
      <c r="EG158" s="740"/>
      <c r="EH158" s="740"/>
      <c r="EI158" s="740"/>
      <c r="EJ158" s="740"/>
      <c r="EK158" s="740"/>
      <c r="EL158" s="740"/>
      <c r="EM158" s="740"/>
      <c r="EN158" s="740"/>
      <c r="EO158" s="740"/>
      <c r="EP158" s="740"/>
      <c r="EQ158" s="740"/>
      <c r="ER158" s="740"/>
      <c r="ES158" s="740"/>
      <c r="ET158" s="740"/>
      <c r="EU158" s="740"/>
      <c r="EV158" s="740"/>
      <c r="EW158" s="740"/>
      <c r="EX158" s="740"/>
      <c r="EY158" s="740"/>
      <c r="EZ158" s="740"/>
      <c r="FA158" s="740"/>
      <c r="FB158" s="740"/>
      <c r="FC158" s="740"/>
      <c r="FD158" s="740"/>
      <c r="FE158" s="740"/>
      <c r="FF158" s="740"/>
      <c r="FG158" s="740"/>
      <c r="FH158" s="740"/>
      <c r="FI158" s="740"/>
      <c r="FJ158" s="740"/>
      <c r="FK158" s="740"/>
      <c r="FL158" s="740"/>
      <c r="FM158" s="740"/>
      <c r="FN158" s="740"/>
      <c r="FO158" s="740"/>
      <c r="FP158" s="740"/>
      <c r="FQ158" s="740"/>
      <c r="FR158" s="740"/>
      <c r="FS158" s="740"/>
      <c r="FT158" s="740"/>
      <c r="FU158" s="740"/>
      <c r="FV158" s="740"/>
      <c r="FW158" s="740"/>
      <c r="FX158" s="740"/>
      <c r="FY158" s="740"/>
      <c r="FZ158" s="740"/>
      <c r="GA158" s="740"/>
      <c r="GB158" s="740"/>
      <c r="GC158" s="740"/>
      <c r="GD158" s="740"/>
      <c r="GE158" s="740"/>
      <c r="GF158" s="740"/>
      <c r="GG158" s="740"/>
      <c r="GH158" s="740"/>
      <c r="GI158" s="740"/>
      <c r="GJ158" s="740"/>
      <c r="GK158" s="740"/>
      <c r="GL158" s="740"/>
      <c r="GM158" s="740"/>
      <c r="GN158" s="740"/>
      <c r="GO158" s="740"/>
      <c r="GP158" s="740"/>
      <c r="GQ158" s="740"/>
      <c r="GR158" s="740"/>
      <c r="GS158" s="740"/>
      <c r="GT158" s="740"/>
      <c r="GU158" s="740"/>
      <c r="GV158" s="740"/>
      <c r="GW158" s="740"/>
    </row>
    <row r="159" spans="1:205" ht="24" customHeight="1" x14ac:dyDescent="0.4">
      <c r="A159" s="2503"/>
      <c r="D159" s="1341" t="s">
        <v>720</v>
      </c>
      <c r="E159" s="1342" t="s">
        <v>721</v>
      </c>
      <c r="T159" s="740"/>
      <c r="U159" s="740"/>
      <c r="V159" s="740"/>
      <c r="W159" s="740"/>
      <c r="X159" s="740"/>
      <c r="Y159" s="740"/>
      <c r="Z159" s="740"/>
      <c r="AA159" s="739"/>
      <c r="AB159" s="189"/>
      <c r="AI159" s="189"/>
      <c r="AJ159" s="468" t="s">
        <v>455</v>
      </c>
      <c r="AK159" s="189"/>
      <c r="AL159" s="189"/>
      <c r="AM159" s="189"/>
      <c r="AN159" s="291"/>
      <c r="AO159" s="801">
        <v>0.03</v>
      </c>
      <c r="AP159" s="189"/>
      <c r="AQ159" s="291"/>
      <c r="AR159" s="189"/>
      <c r="AS159" s="687"/>
      <c r="AT159" s="189"/>
      <c r="AU159" s="687"/>
      <c r="AV159" s="189"/>
      <c r="AW159" s="687"/>
      <c r="AX159" s="189"/>
      <c r="AY159" s="687"/>
      <c r="AZ159" s="740"/>
      <c r="BA159" s="740"/>
      <c r="BB159" s="740"/>
      <c r="BC159" s="740"/>
      <c r="BD159" s="740"/>
      <c r="BE159" s="740"/>
      <c r="BF159" s="740"/>
      <c r="BG159" s="740"/>
      <c r="BH159" s="740"/>
      <c r="BI159" s="740"/>
      <c r="BJ159" s="740"/>
      <c r="BK159" s="740"/>
      <c r="BL159" s="740"/>
      <c r="BM159" s="740"/>
      <c r="BN159" s="740"/>
      <c r="BO159" s="740"/>
      <c r="BP159" s="740"/>
      <c r="BQ159" s="740"/>
      <c r="BR159" s="740"/>
      <c r="BS159" s="740"/>
      <c r="BT159" s="740"/>
      <c r="BU159" s="740"/>
      <c r="BV159" s="740"/>
      <c r="BW159" s="740"/>
      <c r="BX159" s="740"/>
      <c r="BY159" s="740"/>
      <c r="BZ159" s="740"/>
      <c r="CA159" s="740"/>
      <c r="CB159" s="740"/>
      <c r="CC159" s="740"/>
      <c r="CD159" s="740"/>
      <c r="CE159" s="740"/>
      <c r="CF159" s="740"/>
      <c r="CG159" s="740"/>
      <c r="CH159" s="740"/>
      <c r="CI159" s="740"/>
      <c r="CJ159" s="740"/>
      <c r="CK159" s="740"/>
      <c r="CL159" s="740"/>
      <c r="CM159" s="740"/>
      <c r="CN159" s="740"/>
      <c r="CO159" s="740"/>
      <c r="CP159" s="740"/>
      <c r="CQ159" s="740"/>
      <c r="CR159" s="740"/>
      <c r="CS159" s="740"/>
      <c r="CT159" s="740"/>
      <c r="CU159" s="740"/>
      <c r="CV159" s="740"/>
      <c r="CW159" s="740"/>
      <c r="CX159" s="740"/>
      <c r="CY159" s="740"/>
      <c r="CZ159" s="740"/>
      <c r="DA159" s="740"/>
      <c r="DB159" s="740"/>
      <c r="DC159" s="740"/>
      <c r="DD159" s="740"/>
      <c r="DE159" s="740"/>
      <c r="DF159" s="740"/>
      <c r="DG159" s="740"/>
      <c r="DH159" s="740"/>
      <c r="DI159" s="740"/>
      <c r="DJ159" s="740"/>
      <c r="DK159" s="740"/>
      <c r="DL159" s="740"/>
      <c r="DM159" s="740"/>
      <c r="DN159" s="740"/>
      <c r="DO159" s="740"/>
      <c r="DP159" s="740"/>
      <c r="DQ159" s="740"/>
      <c r="DR159" s="740"/>
      <c r="DS159" s="740"/>
      <c r="DT159" s="740"/>
      <c r="DU159" s="740"/>
      <c r="DV159" s="740"/>
      <c r="DW159" s="740"/>
      <c r="DX159" s="740"/>
      <c r="DY159" s="740"/>
      <c r="DZ159" s="740"/>
      <c r="EA159" s="740"/>
      <c r="EB159" s="740"/>
      <c r="EC159" s="740"/>
      <c r="ED159" s="740"/>
      <c r="EE159" s="740"/>
      <c r="EF159" s="740"/>
      <c r="EG159" s="740"/>
      <c r="EH159" s="740"/>
      <c r="EI159" s="740"/>
      <c r="EJ159" s="740"/>
      <c r="EK159" s="740"/>
      <c r="EL159" s="740"/>
      <c r="EM159" s="740"/>
      <c r="EN159" s="740"/>
      <c r="EO159" s="740"/>
      <c r="EP159" s="740"/>
      <c r="EQ159" s="740"/>
      <c r="ER159" s="740"/>
      <c r="ES159" s="740"/>
      <c r="ET159" s="740"/>
      <c r="EU159" s="740"/>
      <c r="EV159" s="740"/>
      <c r="EW159" s="740"/>
      <c r="EX159" s="740"/>
      <c r="EY159" s="740"/>
      <c r="EZ159" s="740"/>
      <c r="FA159" s="740"/>
      <c r="FB159" s="740"/>
      <c r="FC159" s="740"/>
      <c r="FD159" s="740"/>
      <c r="FE159" s="740"/>
      <c r="FF159" s="740"/>
      <c r="FG159" s="740"/>
      <c r="FH159" s="740"/>
      <c r="FI159" s="740"/>
      <c r="FJ159" s="740"/>
      <c r="FK159" s="740"/>
      <c r="FL159" s="740"/>
      <c r="FM159" s="740"/>
      <c r="FN159" s="740"/>
      <c r="FO159" s="740"/>
      <c r="FP159" s="740"/>
      <c r="FQ159" s="740"/>
      <c r="FR159" s="740"/>
      <c r="FS159" s="740"/>
      <c r="FT159" s="740"/>
      <c r="FU159" s="740"/>
      <c r="FV159" s="740"/>
      <c r="FW159" s="740"/>
      <c r="FX159" s="740"/>
      <c r="FY159" s="740"/>
      <c r="FZ159" s="740"/>
      <c r="GA159" s="740"/>
      <c r="GB159" s="740"/>
      <c r="GC159" s="740"/>
      <c r="GD159" s="740"/>
      <c r="GE159" s="740"/>
      <c r="GF159" s="740"/>
      <c r="GG159" s="740"/>
      <c r="GH159" s="740"/>
      <c r="GI159" s="740"/>
      <c r="GJ159" s="740"/>
      <c r="GK159" s="740"/>
      <c r="GL159" s="740"/>
      <c r="GM159" s="740"/>
      <c r="GN159" s="740"/>
      <c r="GO159" s="740"/>
      <c r="GP159" s="740"/>
      <c r="GQ159" s="740"/>
      <c r="GR159" s="740"/>
      <c r="GS159" s="740"/>
      <c r="GT159" s="740"/>
      <c r="GU159" s="740"/>
      <c r="GV159" s="740"/>
      <c r="GW159" s="740"/>
    </row>
    <row r="160" spans="1:205" ht="24" customHeight="1" x14ac:dyDescent="0.2">
      <c r="A160" s="2503"/>
      <c r="T160" s="740"/>
      <c r="U160" s="740"/>
      <c r="V160" s="740"/>
      <c r="W160" s="740"/>
      <c r="X160" s="740"/>
      <c r="Y160" s="740"/>
      <c r="Z160" s="740"/>
      <c r="AA160" s="739"/>
      <c r="AB160" s="189"/>
      <c r="AI160" s="189"/>
      <c r="AJ160" s="468" t="s">
        <v>456</v>
      </c>
      <c r="AK160" s="189"/>
      <c r="AL160" s="189"/>
      <c r="AM160" s="189"/>
      <c r="AN160" s="291"/>
      <c r="AO160" s="801">
        <v>0.04</v>
      </c>
      <c r="AP160" s="189"/>
      <c r="AQ160" s="291"/>
      <c r="AR160" s="189"/>
      <c r="AS160" s="687"/>
      <c r="AT160" s="189"/>
      <c r="AU160" s="687"/>
      <c r="AV160" s="189"/>
      <c r="AW160" s="687"/>
      <c r="AX160" s="189"/>
      <c r="AY160" s="687"/>
      <c r="AZ160" s="740"/>
      <c r="BA160" s="740"/>
      <c r="BB160" s="740"/>
      <c r="BC160" s="740"/>
      <c r="BD160" s="740"/>
      <c r="BE160" s="740"/>
      <c r="BF160" s="740"/>
      <c r="BG160" s="740"/>
      <c r="BH160" s="740"/>
      <c r="BI160" s="740"/>
      <c r="BJ160" s="740"/>
      <c r="BK160" s="740"/>
      <c r="BL160" s="740"/>
      <c r="BM160" s="740"/>
      <c r="BN160" s="740"/>
      <c r="BO160" s="740"/>
      <c r="BP160" s="740"/>
      <c r="BQ160" s="740"/>
      <c r="BR160" s="740"/>
      <c r="BS160" s="740"/>
      <c r="BT160" s="740"/>
      <c r="BU160" s="740"/>
      <c r="BV160" s="740"/>
      <c r="BW160" s="740"/>
      <c r="BX160" s="740"/>
      <c r="BY160" s="740"/>
      <c r="BZ160" s="740"/>
      <c r="CA160" s="740"/>
      <c r="CB160" s="740"/>
      <c r="CC160" s="740"/>
      <c r="CD160" s="740"/>
      <c r="CE160" s="740"/>
      <c r="CF160" s="740"/>
      <c r="CG160" s="740"/>
      <c r="CH160" s="740"/>
      <c r="CI160" s="740"/>
      <c r="CJ160" s="740"/>
      <c r="CK160" s="740"/>
      <c r="CL160" s="740"/>
      <c r="CM160" s="740"/>
      <c r="CN160" s="740"/>
      <c r="CO160" s="740"/>
      <c r="CP160" s="740"/>
      <c r="CQ160" s="740"/>
      <c r="CR160" s="740"/>
      <c r="CS160" s="740"/>
      <c r="CT160" s="740"/>
      <c r="CU160" s="740"/>
      <c r="CV160" s="740"/>
      <c r="CW160" s="740"/>
      <c r="CX160" s="740"/>
      <c r="CY160" s="740"/>
      <c r="CZ160" s="740"/>
      <c r="DA160" s="740"/>
      <c r="DB160" s="740"/>
      <c r="DC160" s="740"/>
      <c r="DD160" s="740"/>
      <c r="DE160" s="740"/>
      <c r="DF160" s="740"/>
      <c r="DG160" s="740"/>
      <c r="DH160" s="740"/>
      <c r="DI160" s="740"/>
      <c r="DJ160" s="740"/>
      <c r="DK160" s="740"/>
      <c r="DL160" s="740"/>
      <c r="DM160" s="740"/>
      <c r="DN160" s="740"/>
      <c r="DO160" s="740"/>
      <c r="DP160" s="740"/>
      <c r="DQ160" s="740"/>
      <c r="DR160" s="740"/>
      <c r="DS160" s="740"/>
      <c r="DT160" s="740"/>
      <c r="DU160" s="740"/>
      <c r="DV160" s="740"/>
      <c r="DW160" s="740"/>
      <c r="DX160" s="740"/>
      <c r="DY160" s="740"/>
      <c r="DZ160" s="740"/>
      <c r="EA160" s="740"/>
      <c r="EB160" s="740"/>
      <c r="EC160" s="740"/>
      <c r="ED160" s="740"/>
      <c r="EE160" s="740"/>
      <c r="EF160" s="740"/>
      <c r="EG160" s="740"/>
      <c r="EH160" s="740"/>
      <c r="EI160" s="740"/>
      <c r="EJ160" s="740"/>
      <c r="EK160" s="740"/>
      <c r="EL160" s="740"/>
      <c r="EM160" s="740"/>
      <c r="EN160" s="740"/>
      <c r="EO160" s="740"/>
      <c r="EP160" s="740"/>
      <c r="EQ160" s="740"/>
      <c r="ER160" s="740"/>
      <c r="ES160" s="740"/>
      <c r="ET160" s="740"/>
      <c r="EU160" s="740"/>
      <c r="EV160" s="740"/>
      <c r="EW160" s="740"/>
      <c r="EX160" s="740"/>
      <c r="EY160" s="740"/>
      <c r="EZ160" s="740"/>
      <c r="FA160" s="740"/>
      <c r="FB160" s="740"/>
      <c r="FC160" s="740"/>
      <c r="FD160" s="740"/>
      <c r="FE160" s="740"/>
      <c r="FF160" s="740"/>
      <c r="FG160" s="740"/>
      <c r="FH160" s="740"/>
      <c r="FI160" s="740"/>
      <c r="FJ160" s="740"/>
      <c r="FK160" s="740"/>
      <c r="FL160" s="740"/>
      <c r="FM160" s="740"/>
      <c r="FN160" s="740"/>
      <c r="FO160" s="740"/>
      <c r="FP160" s="740"/>
      <c r="FQ160" s="740"/>
      <c r="FR160" s="740"/>
      <c r="FS160" s="740"/>
      <c r="FT160" s="740"/>
      <c r="FU160" s="740"/>
      <c r="FV160" s="740"/>
      <c r="FW160" s="740"/>
      <c r="FX160" s="740"/>
      <c r="FY160" s="740"/>
      <c r="FZ160" s="740"/>
      <c r="GA160" s="740"/>
      <c r="GB160" s="740"/>
      <c r="GC160" s="740"/>
      <c r="GD160" s="740"/>
      <c r="GE160" s="740"/>
      <c r="GF160" s="740"/>
      <c r="GG160" s="740"/>
      <c r="GH160" s="740"/>
      <c r="GI160" s="740"/>
      <c r="GJ160" s="740"/>
      <c r="GK160" s="740"/>
      <c r="GL160" s="740"/>
      <c r="GM160" s="740"/>
      <c r="GN160" s="740"/>
      <c r="GO160" s="740"/>
      <c r="GP160" s="740"/>
      <c r="GQ160" s="740"/>
      <c r="GR160" s="740"/>
      <c r="GS160" s="740"/>
      <c r="GT160" s="740"/>
      <c r="GU160" s="740"/>
      <c r="GV160" s="740"/>
      <c r="GW160" s="740"/>
    </row>
    <row r="161" spans="1:205" ht="24" customHeight="1" x14ac:dyDescent="0.2">
      <c r="A161" s="2503"/>
      <c r="E161" s="139"/>
      <c r="F161" s="121" t="s">
        <v>64</v>
      </c>
      <c r="G161" s="121"/>
      <c r="H161" s="121"/>
      <c r="I161" s="121"/>
      <c r="J161" s="121"/>
      <c r="K161" s="2204" t="s">
        <v>1108</v>
      </c>
      <c r="L161" s="2200">
        <f>L22</f>
        <v>0</v>
      </c>
      <c r="M161" s="336"/>
      <c r="N161" s="2200">
        <f>N22</f>
        <v>0</v>
      </c>
      <c r="O161" s="336">
        <f>O22</f>
        <v>0</v>
      </c>
      <c r="P161" s="2200">
        <f>P22</f>
        <v>0</v>
      </c>
      <c r="Q161" s="2196"/>
      <c r="T161" s="740"/>
      <c r="U161" s="740"/>
      <c r="V161" s="740"/>
      <c r="W161" s="740"/>
      <c r="X161" s="740"/>
      <c r="Y161" s="740"/>
      <c r="Z161" s="740"/>
      <c r="AA161" s="739"/>
      <c r="AB161" s="189"/>
      <c r="AI161" s="189"/>
      <c r="AJ161" s="468"/>
      <c r="AK161" s="189"/>
      <c r="AL161" s="189"/>
      <c r="AM161" s="189"/>
      <c r="AN161" s="291"/>
      <c r="AO161" s="801"/>
      <c r="AP161" s="189"/>
      <c r="AQ161" s="291"/>
      <c r="AR161" s="189"/>
      <c r="AS161" s="687"/>
      <c r="AT161" s="189"/>
      <c r="AU161" s="687"/>
      <c r="AV161" s="189"/>
      <c r="AW161" s="687"/>
      <c r="AX161" s="189"/>
      <c r="AY161" s="687"/>
      <c r="AZ161" s="740"/>
      <c r="BA161" s="740"/>
      <c r="BB161" s="740"/>
      <c r="BC161" s="740"/>
      <c r="BD161" s="740"/>
      <c r="BE161" s="740"/>
      <c r="BF161" s="740"/>
      <c r="BG161" s="740"/>
      <c r="BH161" s="740"/>
      <c r="BI161" s="740"/>
      <c r="BJ161" s="740"/>
      <c r="BK161" s="740"/>
      <c r="BL161" s="740"/>
      <c r="BM161" s="740"/>
      <c r="BN161" s="740"/>
      <c r="BO161" s="740"/>
      <c r="BP161" s="740"/>
      <c r="BQ161" s="740"/>
      <c r="BR161" s="740"/>
      <c r="BS161" s="740"/>
      <c r="BT161" s="740"/>
      <c r="BU161" s="740"/>
      <c r="BV161" s="740"/>
      <c r="BW161" s="740"/>
      <c r="BX161" s="740"/>
      <c r="BY161" s="740"/>
      <c r="BZ161" s="740"/>
      <c r="CA161" s="740"/>
      <c r="CB161" s="740"/>
      <c r="CC161" s="740"/>
      <c r="CD161" s="740"/>
      <c r="CE161" s="740"/>
      <c r="CF161" s="740"/>
      <c r="CG161" s="740"/>
      <c r="CH161" s="740"/>
      <c r="CI161" s="740"/>
      <c r="CJ161" s="740"/>
      <c r="CK161" s="740"/>
      <c r="CL161" s="740"/>
      <c r="CM161" s="740"/>
      <c r="CN161" s="740"/>
      <c r="CO161" s="740"/>
      <c r="CP161" s="740"/>
      <c r="CQ161" s="740"/>
      <c r="CR161" s="740"/>
      <c r="CS161" s="740"/>
      <c r="CT161" s="740"/>
      <c r="CU161" s="740"/>
      <c r="CV161" s="740"/>
      <c r="CW161" s="740"/>
      <c r="CX161" s="740"/>
      <c r="CY161" s="740"/>
      <c r="CZ161" s="740"/>
      <c r="DA161" s="740"/>
      <c r="DB161" s="740"/>
      <c r="DC161" s="740"/>
      <c r="DD161" s="740"/>
      <c r="DE161" s="740"/>
      <c r="DF161" s="740"/>
      <c r="DG161" s="740"/>
      <c r="DH161" s="740"/>
      <c r="DI161" s="740"/>
      <c r="DJ161" s="740"/>
      <c r="DK161" s="740"/>
      <c r="DL161" s="740"/>
      <c r="DM161" s="740"/>
      <c r="DN161" s="740"/>
      <c r="DO161" s="740"/>
      <c r="DP161" s="740"/>
      <c r="DQ161" s="740"/>
      <c r="DR161" s="740"/>
      <c r="DS161" s="740"/>
      <c r="DT161" s="740"/>
      <c r="DU161" s="740"/>
      <c r="DV161" s="740"/>
      <c r="DW161" s="740"/>
      <c r="DX161" s="740"/>
      <c r="DY161" s="740"/>
      <c r="DZ161" s="740"/>
      <c r="EA161" s="740"/>
      <c r="EB161" s="740"/>
      <c r="EC161" s="740"/>
      <c r="ED161" s="740"/>
      <c r="EE161" s="740"/>
      <c r="EF161" s="740"/>
      <c r="EG161" s="740"/>
      <c r="EH161" s="740"/>
      <c r="EI161" s="740"/>
      <c r="EJ161" s="740"/>
      <c r="EK161" s="740"/>
      <c r="EL161" s="740"/>
      <c r="EM161" s="740"/>
      <c r="EN161" s="740"/>
      <c r="EO161" s="740"/>
      <c r="EP161" s="740"/>
      <c r="EQ161" s="740"/>
      <c r="ER161" s="740"/>
      <c r="ES161" s="740"/>
      <c r="ET161" s="740"/>
      <c r="EU161" s="740"/>
      <c r="EV161" s="740"/>
      <c r="EW161" s="740"/>
      <c r="EX161" s="740"/>
      <c r="EY161" s="740"/>
      <c r="EZ161" s="740"/>
      <c r="FA161" s="740"/>
      <c r="FB161" s="740"/>
      <c r="FC161" s="740"/>
      <c r="FD161" s="740"/>
      <c r="FE161" s="740"/>
      <c r="FF161" s="740"/>
      <c r="FG161" s="740"/>
      <c r="FH161" s="740"/>
      <c r="FI161" s="740"/>
      <c r="FJ161" s="740"/>
      <c r="FK161" s="740"/>
      <c r="FL161" s="740"/>
      <c r="FM161" s="740"/>
      <c r="FN161" s="740"/>
      <c r="FO161" s="740"/>
      <c r="FP161" s="740"/>
      <c r="FQ161" s="740"/>
      <c r="FR161" s="740"/>
      <c r="FS161" s="740"/>
      <c r="FT161" s="740"/>
      <c r="FU161" s="740"/>
      <c r="FV161" s="740"/>
      <c r="FW161" s="740"/>
      <c r="FX161" s="740"/>
      <c r="FY161" s="740"/>
      <c r="FZ161" s="740"/>
      <c r="GA161" s="740"/>
      <c r="GB161" s="740"/>
      <c r="GC161" s="740"/>
      <c r="GD161" s="740"/>
      <c r="GE161" s="740"/>
      <c r="GF161" s="740"/>
      <c r="GG161" s="740"/>
      <c r="GH161" s="740"/>
      <c r="GI161" s="740"/>
      <c r="GJ161" s="740"/>
      <c r="GK161" s="740"/>
      <c r="GL161" s="740"/>
      <c r="GM161" s="740"/>
      <c r="GN161" s="740"/>
      <c r="GO161" s="740"/>
      <c r="GP161" s="740"/>
      <c r="GQ161" s="740"/>
      <c r="GR161" s="740"/>
      <c r="GS161" s="740"/>
      <c r="GT161" s="740"/>
      <c r="GU161" s="740"/>
      <c r="GV161" s="740"/>
      <c r="GW161" s="740"/>
    </row>
    <row r="162" spans="1:205" ht="24" customHeight="1" x14ac:dyDescent="0.2">
      <c r="A162" s="2503"/>
      <c r="E162" s="131"/>
      <c r="F162" s="111"/>
      <c r="G162" s="111"/>
      <c r="H162" s="111"/>
      <c r="I162" s="111"/>
      <c r="J162" s="111"/>
      <c r="K162" s="112"/>
      <c r="L162" s="2201">
        <f>L23</f>
        <v>4</v>
      </c>
      <c r="M162" s="300"/>
      <c r="N162" s="2201">
        <f>N23</f>
        <v>6</v>
      </c>
      <c r="O162" s="300"/>
      <c r="P162" s="2201">
        <f>P23</f>
        <v>8</v>
      </c>
      <c r="Q162" s="300"/>
      <c r="T162" s="740"/>
      <c r="U162" s="740"/>
      <c r="V162" s="740"/>
      <c r="W162" s="740"/>
      <c r="X162" s="740"/>
      <c r="Y162" s="740"/>
      <c r="Z162" s="740"/>
      <c r="AA162" s="739"/>
      <c r="AB162" s="189"/>
      <c r="AI162" s="189"/>
      <c r="AJ162" s="468" t="s">
        <v>457</v>
      </c>
      <c r="AK162" s="189"/>
      <c r="AL162" s="189"/>
      <c r="AM162" s="189"/>
      <c r="AN162" s="291"/>
      <c r="AO162" s="801">
        <v>0.12</v>
      </c>
      <c r="AP162" s="189"/>
      <c r="AQ162" s="291"/>
      <c r="AR162" s="189"/>
      <c r="AS162" s="687"/>
      <c r="AT162" s="189"/>
      <c r="AU162" s="687"/>
      <c r="AV162" s="189"/>
      <c r="AW162" s="687"/>
      <c r="AX162" s="189"/>
      <c r="AY162" s="687"/>
      <c r="AZ162" s="740"/>
      <c r="BA162" s="740"/>
      <c r="BB162" s="740"/>
      <c r="BC162" s="740"/>
      <c r="BD162" s="740"/>
      <c r="BE162" s="740"/>
      <c r="BF162" s="740"/>
      <c r="BG162" s="740"/>
      <c r="BH162" s="740"/>
      <c r="BI162" s="740"/>
      <c r="BJ162" s="740"/>
      <c r="BK162" s="740"/>
      <c r="BL162" s="740"/>
      <c r="BM162" s="740"/>
      <c r="BN162" s="740"/>
      <c r="BO162" s="740"/>
      <c r="BP162" s="740"/>
      <c r="BQ162" s="740"/>
      <c r="BR162" s="740"/>
      <c r="BS162" s="740"/>
      <c r="BT162" s="740"/>
      <c r="BU162" s="740"/>
      <c r="BV162" s="740"/>
      <c r="BW162" s="740"/>
      <c r="BX162" s="740"/>
      <c r="BY162" s="740"/>
      <c r="BZ162" s="740"/>
      <c r="CA162" s="740"/>
      <c r="CB162" s="740"/>
      <c r="CC162" s="740"/>
      <c r="CD162" s="740"/>
      <c r="CE162" s="740"/>
      <c r="CF162" s="740"/>
      <c r="CG162" s="740"/>
      <c r="CH162" s="740"/>
      <c r="CI162" s="740"/>
      <c r="CJ162" s="740"/>
      <c r="CK162" s="740"/>
      <c r="CL162" s="740"/>
      <c r="CM162" s="740"/>
      <c r="CN162" s="740"/>
      <c r="CO162" s="740"/>
      <c r="CP162" s="740"/>
      <c r="CQ162" s="740"/>
      <c r="CR162" s="740"/>
      <c r="CS162" s="740"/>
      <c r="CT162" s="740"/>
      <c r="CU162" s="740"/>
      <c r="CV162" s="740"/>
      <c r="CW162" s="740"/>
      <c r="CX162" s="740"/>
      <c r="CY162" s="740"/>
      <c r="CZ162" s="740"/>
      <c r="DA162" s="740"/>
      <c r="DB162" s="740"/>
      <c r="DC162" s="740"/>
      <c r="DD162" s="740"/>
      <c r="DE162" s="740"/>
      <c r="DF162" s="740"/>
      <c r="DG162" s="740"/>
      <c r="DH162" s="740"/>
      <c r="DI162" s="740"/>
      <c r="DJ162" s="740"/>
      <c r="DK162" s="740"/>
      <c r="DL162" s="740"/>
      <c r="DM162" s="740"/>
      <c r="DN162" s="740"/>
      <c r="DO162" s="740"/>
      <c r="DP162" s="740"/>
      <c r="DQ162" s="740"/>
      <c r="DR162" s="740"/>
      <c r="DS162" s="740"/>
      <c r="DT162" s="740"/>
      <c r="DU162" s="740"/>
      <c r="DV162" s="740"/>
      <c r="DW162" s="740"/>
      <c r="DX162" s="740"/>
      <c r="DY162" s="740"/>
      <c r="DZ162" s="740"/>
      <c r="EA162" s="740"/>
      <c r="EB162" s="740"/>
      <c r="EC162" s="740"/>
      <c r="ED162" s="740"/>
      <c r="EE162" s="740"/>
      <c r="EF162" s="740"/>
      <c r="EG162" s="740"/>
      <c r="EH162" s="740"/>
      <c r="EI162" s="740"/>
      <c r="EJ162" s="740"/>
      <c r="EK162" s="740"/>
      <c r="EL162" s="740"/>
      <c r="EM162" s="740"/>
      <c r="EN162" s="740"/>
      <c r="EO162" s="740"/>
      <c r="EP162" s="740"/>
      <c r="EQ162" s="740"/>
      <c r="ER162" s="740"/>
      <c r="ES162" s="740"/>
      <c r="ET162" s="740"/>
      <c r="EU162" s="740"/>
      <c r="EV162" s="740"/>
      <c r="EW162" s="740"/>
      <c r="EX162" s="740"/>
      <c r="EY162" s="740"/>
      <c r="EZ162" s="740"/>
      <c r="FA162" s="740"/>
      <c r="FB162" s="740"/>
      <c r="FC162" s="740"/>
      <c r="FD162" s="740"/>
      <c r="FE162" s="740"/>
      <c r="FF162" s="740"/>
      <c r="FG162" s="740"/>
      <c r="FH162" s="740"/>
      <c r="FI162" s="740"/>
      <c r="FJ162" s="740"/>
      <c r="FK162" s="740"/>
      <c r="FL162" s="740"/>
      <c r="FM162" s="740"/>
      <c r="FN162" s="740"/>
      <c r="FO162" s="740"/>
      <c r="FP162" s="740"/>
      <c r="FQ162" s="740"/>
      <c r="FR162" s="740"/>
      <c r="FS162" s="740"/>
      <c r="FT162" s="740"/>
      <c r="FU162" s="740"/>
      <c r="FV162" s="740"/>
      <c r="FW162" s="740"/>
      <c r="FX162" s="740"/>
      <c r="FY162" s="740"/>
      <c r="FZ162" s="740"/>
      <c r="GA162" s="740"/>
      <c r="GB162" s="740"/>
      <c r="GC162" s="740"/>
      <c r="GD162" s="740"/>
      <c r="GE162" s="740"/>
      <c r="GF162" s="740"/>
      <c r="GG162" s="740"/>
      <c r="GH162" s="740"/>
      <c r="GI162" s="740"/>
      <c r="GJ162" s="740"/>
      <c r="GK162" s="740"/>
      <c r="GL162" s="740"/>
      <c r="GM162" s="740"/>
      <c r="GN162" s="740"/>
      <c r="GO162" s="740"/>
      <c r="GP162" s="740"/>
      <c r="GQ162" s="740"/>
      <c r="GR162" s="740"/>
      <c r="GS162" s="740"/>
      <c r="GT162" s="740"/>
      <c r="GU162" s="740"/>
      <c r="GV162" s="740"/>
      <c r="GW162" s="740"/>
    </row>
    <row r="163" spans="1:205" ht="24" customHeight="1" x14ac:dyDescent="0.2">
      <c r="A163" s="2503"/>
      <c r="E163" s="131"/>
      <c r="F163" s="111"/>
      <c r="G163" s="111"/>
      <c r="H163" s="111"/>
      <c r="I163" s="111"/>
      <c r="J163" s="111"/>
      <c r="K163" s="112"/>
      <c r="L163" s="2201">
        <f>L24</f>
        <v>0.4</v>
      </c>
      <c r="M163" s="300"/>
      <c r="N163" s="2201">
        <f>N24</f>
        <v>0.35</v>
      </c>
      <c r="O163" s="300"/>
      <c r="P163" s="2201">
        <f>P24</f>
        <v>0.3</v>
      </c>
      <c r="Q163" s="300"/>
      <c r="T163" s="740"/>
      <c r="U163" s="740"/>
      <c r="V163" s="740"/>
      <c r="W163" s="740"/>
      <c r="X163" s="740"/>
      <c r="Y163" s="740"/>
      <c r="Z163" s="740"/>
      <c r="AA163" s="739"/>
      <c r="AB163" s="189"/>
      <c r="AI163" s="189"/>
      <c r="AJ163" s="468" t="s">
        <v>458</v>
      </c>
      <c r="AK163" s="189"/>
      <c r="AL163" s="189"/>
      <c r="AM163" s="189"/>
      <c r="AN163" s="291"/>
      <c r="AO163" s="801">
        <v>0.12</v>
      </c>
      <c r="AP163" s="189"/>
      <c r="AQ163" s="291"/>
      <c r="AR163" s="189"/>
      <c r="AS163" s="687"/>
      <c r="AT163" s="189"/>
      <c r="AU163" s="687"/>
      <c r="AV163" s="189"/>
      <c r="AW163" s="687"/>
      <c r="AX163" s="189"/>
      <c r="AY163" s="687"/>
      <c r="AZ163" s="740"/>
      <c r="BA163" s="740"/>
      <c r="BB163" s="740"/>
      <c r="BC163" s="740"/>
      <c r="BD163" s="740"/>
      <c r="BE163" s="740"/>
      <c r="BF163" s="740"/>
      <c r="BG163" s="740"/>
      <c r="BH163" s="740"/>
      <c r="BI163" s="740"/>
      <c r="BJ163" s="740"/>
      <c r="BK163" s="740"/>
      <c r="BL163" s="740"/>
      <c r="BM163" s="740"/>
      <c r="BN163" s="740"/>
      <c r="BO163" s="740"/>
      <c r="BP163" s="740"/>
      <c r="BQ163" s="740"/>
      <c r="BR163" s="740"/>
      <c r="BS163" s="740"/>
      <c r="BT163" s="740"/>
      <c r="BU163" s="740"/>
      <c r="BV163" s="740"/>
      <c r="BW163" s="740"/>
      <c r="BX163" s="740"/>
      <c r="BY163" s="740"/>
      <c r="BZ163" s="740"/>
      <c r="CA163" s="740"/>
      <c r="CB163" s="740"/>
      <c r="CC163" s="740"/>
      <c r="CD163" s="740"/>
      <c r="CE163" s="740"/>
      <c r="CF163" s="740"/>
      <c r="CG163" s="740"/>
      <c r="CH163" s="740"/>
      <c r="CI163" s="740"/>
      <c r="CJ163" s="740"/>
      <c r="CK163" s="740"/>
      <c r="CL163" s="740"/>
      <c r="CM163" s="740"/>
      <c r="CN163" s="740"/>
      <c r="CO163" s="740"/>
      <c r="CP163" s="740"/>
      <c r="CQ163" s="740"/>
      <c r="CR163" s="740"/>
      <c r="CS163" s="740"/>
      <c r="CT163" s="740"/>
      <c r="CU163" s="740"/>
      <c r="CV163" s="740"/>
      <c r="CW163" s="740"/>
      <c r="CX163" s="740"/>
      <c r="CY163" s="740"/>
      <c r="CZ163" s="740"/>
      <c r="DA163" s="740"/>
      <c r="DB163" s="740"/>
      <c r="DC163" s="740"/>
      <c r="DD163" s="740"/>
      <c r="DE163" s="740"/>
      <c r="DF163" s="740"/>
      <c r="DG163" s="740"/>
      <c r="DH163" s="740"/>
      <c r="DI163" s="740"/>
      <c r="DJ163" s="740"/>
      <c r="DK163" s="740"/>
      <c r="DL163" s="740"/>
      <c r="DM163" s="740"/>
      <c r="DN163" s="740"/>
      <c r="DO163" s="740"/>
      <c r="DP163" s="740"/>
      <c r="DQ163" s="740"/>
      <c r="DR163" s="740"/>
      <c r="DS163" s="740"/>
      <c r="DT163" s="740"/>
      <c r="DU163" s="740"/>
      <c r="DV163" s="740"/>
      <c r="DW163" s="740"/>
      <c r="DX163" s="740"/>
      <c r="DY163" s="740"/>
      <c r="DZ163" s="740"/>
      <c r="EA163" s="740"/>
      <c r="EB163" s="740"/>
      <c r="EC163" s="740"/>
      <c r="ED163" s="740"/>
      <c r="EE163" s="740"/>
      <c r="EF163" s="740"/>
      <c r="EG163" s="740"/>
      <c r="EH163" s="740"/>
      <c r="EI163" s="740"/>
      <c r="EJ163" s="740"/>
      <c r="EK163" s="740"/>
      <c r="EL163" s="740"/>
      <c r="EM163" s="740"/>
      <c r="EN163" s="740"/>
      <c r="EO163" s="740"/>
      <c r="EP163" s="740"/>
      <c r="EQ163" s="740"/>
      <c r="ER163" s="740"/>
      <c r="ES163" s="740"/>
      <c r="ET163" s="740"/>
      <c r="EU163" s="740"/>
      <c r="EV163" s="740"/>
      <c r="EW163" s="740"/>
      <c r="EX163" s="740"/>
      <c r="EY163" s="740"/>
      <c r="EZ163" s="740"/>
      <c r="FA163" s="740"/>
      <c r="FB163" s="740"/>
      <c r="FC163" s="740"/>
      <c r="FD163" s="740"/>
      <c r="FE163" s="740"/>
      <c r="FF163" s="740"/>
      <c r="FG163" s="740"/>
      <c r="FH163" s="740"/>
      <c r="FI163" s="740"/>
      <c r="FJ163" s="740"/>
      <c r="FK163" s="740"/>
      <c r="FL163" s="740"/>
      <c r="FM163" s="740"/>
      <c r="FN163" s="740"/>
      <c r="FO163" s="740"/>
      <c r="FP163" s="740"/>
      <c r="FQ163" s="740"/>
      <c r="FR163" s="740"/>
      <c r="FS163" s="740"/>
      <c r="FT163" s="740"/>
      <c r="FU163" s="740"/>
      <c r="FV163" s="740"/>
      <c r="FW163" s="740"/>
      <c r="FX163" s="740"/>
      <c r="FY163" s="740"/>
      <c r="FZ163" s="740"/>
      <c r="GA163" s="740"/>
      <c r="GB163" s="740"/>
      <c r="GC163" s="740"/>
      <c r="GD163" s="740"/>
      <c r="GE163" s="740"/>
      <c r="GF163" s="740"/>
      <c r="GG163" s="740"/>
      <c r="GH163" s="740"/>
      <c r="GI163" s="740"/>
      <c r="GJ163" s="740"/>
      <c r="GK163" s="740"/>
      <c r="GL163" s="740"/>
      <c r="GM163" s="740"/>
      <c r="GN163" s="740"/>
      <c r="GO163" s="740"/>
      <c r="GP163" s="740"/>
      <c r="GQ163" s="740"/>
      <c r="GR163" s="740"/>
      <c r="GS163" s="740"/>
      <c r="GT163" s="740"/>
      <c r="GU163" s="740"/>
      <c r="GV163" s="740"/>
      <c r="GW163" s="740"/>
    </row>
    <row r="164" spans="1:205" ht="24" customHeight="1" x14ac:dyDescent="0.2">
      <c r="A164" s="2503"/>
      <c r="E164" s="131"/>
      <c r="F164" s="111"/>
      <c r="G164" s="111"/>
      <c r="H164" s="111"/>
      <c r="I164" s="111"/>
      <c r="J164" s="111"/>
      <c r="K164" s="112"/>
      <c r="L164" s="2201"/>
      <c r="M164" s="300"/>
      <c r="N164" s="2201"/>
      <c r="O164" s="300"/>
      <c r="P164" s="2201"/>
      <c r="Q164" s="300"/>
      <c r="T164" s="740"/>
      <c r="U164" s="740"/>
      <c r="V164" s="740"/>
      <c r="W164" s="740"/>
      <c r="X164" s="740"/>
      <c r="Y164" s="740"/>
      <c r="Z164" s="740"/>
      <c r="AA164" s="739"/>
      <c r="AB164" s="189"/>
      <c r="AI164" s="189"/>
      <c r="AJ164" s="468" t="s">
        <v>459</v>
      </c>
      <c r="AK164" s="189"/>
      <c r="AL164" s="189"/>
      <c r="AM164" s="189"/>
      <c r="AN164" s="291"/>
      <c r="AO164" s="801">
        <v>0.15</v>
      </c>
      <c r="AP164" s="189"/>
      <c r="AQ164" s="291"/>
      <c r="AR164" s="189"/>
      <c r="AS164" s="687"/>
      <c r="AT164" s="189"/>
      <c r="AU164" s="687"/>
      <c r="AV164" s="189"/>
      <c r="AW164" s="687"/>
      <c r="AX164" s="189"/>
      <c r="AY164" s="687"/>
      <c r="AZ164" s="740"/>
      <c r="BA164" s="740"/>
      <c r="BB164" s="740"/>
      <c r="BC164" s="740"/>
      <c r="BD164" s="740"/>
      <c r="BE164" s="740"/>
      <c r="BF164" s="740"/>
      <c r="BG164" s="740"/>
      <c r="BH164" s="740"/>
      <c r="BI164" s="740"/>
      <c r="BJ164" s="740"/>
      <c r="BK164" s="740"/>
      <c r="BL164" s="740"/>
      <c r="BM164" s="740"/>
      <c r="BN164" s="740"/>
      <c r="BO164" s="740"/>
      <c r="BP164" s="740"/>
      <c r="BQ164" s="740"/>
      <c r="BR164" s="740"/>
      <c r="BS164" s="740"/>
      <c r="BT164" s="740"/>
      <c r="BU164" s="740"/>
      <c r="BV164" s="740"/>
      <c r="BW164" s="740"/>
      <c r="BX164" s="740"/>
      <c r="BY164" s="740"/>
      <c r="BZ164" s="740"/>
      <c r="CA164" s="740"/>
      <c r="CB164" s="740"/>
      <c r="CC164" s="740"/>
      <c r="CD164" s="740"/>
      <c r="CE164" s="740"/>
      <c r="CF164" s="740"/>
      <c r="CG164" s="740"/>
      <c r="CH164" s="740"/>
      <c r="CI164" s="740"/>
      <c r="CJ164" s="740"/>
      <c r="CK164" s="740"/>
      <c r="CL164" s="740"/>
      <c r="CM164" s="740"/>
      <c r="CN164" s="740"/>
      <c r="CO164" s="740"/>
      <c r="CP164" s="740"/>
      <c r="CQ164" s="740"/>
      <c r="CR164" s="740"/>
      <c r="CS164" s="740"/>
      <c r="CT164" s="740"/>
      <c r="CU164" s="740"/>
      <c r="CV164" s="740"/>
      <c r="CW164" s="740"/>
      <c r="CX164" s="740"/>
      <c r="CY164" s="740"/>
      <c r="CZ164" s="740"/>
      <c r="DA164" s="740"/>
      <c r="DB164" s="740"/>
      <c r="DC164" s="740"/>
      <c r="DD164" s="740"/>
      <c r="DE164" s="740"/>
      <c r="DF164" s="740"/>
      <c r="DG164" s="740"/>
      <c r="DH164" s="740"/>
      <c r="DI164" s="740"/>
      <c r="DJ164" s="740"/>
      <c r="DK164" s="740"/>
      <c r="DL164" s="740"/>
      <c r="DM164" s="740"/>
      <c r="DN164" s="740"/>
      <c r="DO164" s="740"/>
      <c r="DP164" s="740"/>
      <c r="DQ164" s="740"/>
      <c r="DR164" s="740"/>
      <c r="DS164" s="740"/>
      <c r="DT164" s="740"/>
      <c r="DU164" s="740"/>
      <c r="DV164" s="740"/>
      <c r="DW164" s="740"/>
      <c r="DX164" s="740"/>
      <c r="DY164" s="740"/>
      <c r="DZ164" s="740"/>
      <c r="EA164" s="740"/>
      <c r="EB164" s="740"/>
      <c r="EC164" s="740"/>
      <c r="ED164" s="740"/>
      <c r="EE164" s="740"/>
      <c r="EF164" s="740"/>
      <c r="EG164" s="740"/>
      <c r="EH164" s="740"/>
      <c r="EI164" s="740"/>
      <c r="EJ164" s="740"/>
      <c r="EK164" s="740"/>
      <c r="EL164" s="740"/>
      <c r="EM164" s="740"/>
      <c r="EN164" s="740"/>
      <c r="EO164" s="740"/>
      <c r="EP164" s="740"/>
      <c r="EQ164" s="740"/>
      <c r="ER164" s="740"/>
      <c r="ES164" s="740"/>
      <c r="ET164" s="740"/>
      <c r="EU164" s="740"/>
      <c r="EV164" s="740"/>
      <c r="EW164" s="740"/>
      <c r="EX164" s="740"/>
      <c r="EY164" s="740"/>
      <c r="EZ164" s="740"/>
      <c r="FA164" s="740"/>
      <c r="FB164" s="740"/>
      <c r="FC164" s="740"/>
      <c r="FD164" s="740"/>
      <c r="FE164" s="740"/>
      <c r="FF164" s="740"/>
      <c r="FG164" s="740"/>
      <c r="FH164" s="740"/>
      <c r="FI164" s="740"/>
      <c r="FJ164" s="740"/>
      <c r="FK164" s="740"/>
      <c r="FL164" s="740"/>
      <c r="FM164" s="740"/>
      <c r="FN164" s="740"/>
      <c r="FO164" s="740"/>
      <c r="FP164" s="740"/>
      <c r="FQ164" s="740"/>
      <c r="FR164" s="740"/>
      <c r="FS164" s="740"/>
      <c r="FT164" s="740"/>
      <c r="FU164" s="740"/>
      <c r="FV164" s="740"/>
      <c r="FW164" s="740"/>
      <c r="FX164" s="740"/>
      <c r="FY164" s="740"/>
      <c r="FZ164" s="740"/>
      <c r="GA164" s="740"/>
      <c r="GB164" s="740"/>
      <c r="GC164" s="740"/>
      <c r="GD164" s="740"/>
      <c r="GE164" s="740"/>
      <c r="GF164" s="740"/>
      <c r="GG164" s="740"/>
      <c r="GH164" s="740"/>
      <c r="GI164" s="740"/>
      <c r="GJ164" s="740"/>
      <c r="GK164" s="740"/>
      <c r="GL164" s="740"/>
      <c r="GM164" s="740"/>
      <c r="GN164" s="740"/>
      <c r="GO164" s="740"/>
      <c r="GP164" s="740"/>
      <c r="GQ164" s="740"/>
      <c r="GR164" s="740"/>
      <c r="GS164" s="740"/>
      <c r="GT164" s="740"/>
      <c r="GU164" s="740"/>
      <c r="GV164" s="740"/>
      <c r="GW164" s="740"/>
    </row>
    <row r="165" spans="1:205" ht="24" customHeight="1" x14ac:dyDescent="0.2">
      <c r="A165" s="2503"/>
      <c r="E165" s="2567"/>
      <c r="F165" s="155" t="s">
        <v>464</v>
      </c>
      <c r="G165" s="155"/>
      <c r="H165" s="155"/>
      <c r="I165" s="155"/>
      <c r="J165" s="155"/>
      <c r="K165" s="2568"/>
      <c r="L165" s="2569">
        <f>L161+L162+L163</f>
        <v>4.4000000000000004</v>
      </c>
      <c r="M165" s="2260"/>
      <c r="N165" s="2569">
        <f>N161+N162+N163</f>
        <v>6.35</v>
      </c>
      <c r="O165" s="2260"/>
      <c r="P165" s="2569">
        <f>P161+P162+P163</f>
        <v>8.3000000000000007</v>
      </c>
      <c r="Q165" s="2260"/>
      <c r="T165" s="740"/>
      <c r="U165" s="740"/>
      <c r="V165" s="740"/>
      <c r="W165" s="740"/>
      <c r="X165" s="740"/>
      <c r="Y165" s="740"/>
      <c r="Z165" s="740"/>
      <c r="AA165" s="739"/>
      <c r="AB165" s="189"/>
      <c r="AI165" s="189"/>
      <c r="AJ165" s="468" t="s">
        <v>460</v>
      </c>
      <c r="AK165" s="189"/>
      <c r="AL165" s="189"/>
      <c r="AM165" s="189"/>
      <c r="AN165" s="291"/>
      <c r="AO165" s="801"/>
      <c r="AP165" s="189"/>
      <c r="AQ165" s="291"/>
      <c r="AR165" s="189"/>
      <c r="AS165" s="687"/>
      <c r="AT165" s="189"/>
      <c r="AU165" s="687"/>
      <c r="AV165" s="189"/>
      <c r="AW165" s="687"/>
      <c r="AX165" s="189"/>
      <c r="AY165" s="687"/>
      <c r="AZ165" s="740"/>
      <c r="BA165" s="740"/>
      <c r="BB165" s="740"/>
      <c r="BC165" s="740"/>
      <c r="BD165" s="740"/>
      <c r="BE165" s="740"/>
      <c r="BF165" s="740"/>
      <c r="BG165" s="740"/>
      <c r="BH165" s="740"/>
      <c r="BI165" s="740"/>
      <c r="BJ165" s="740"/>
      <c r="BK165" s="740"/>
      <c r="BL165" s="740"/>
      <c r="BM165" s="740"/>
      <c r="BN165" s="740"/>
      <c r="BO165" s="740"/>
      <c r="BP165" s="740"/>
      <c r="BQ165" s="740"/>
      <c r="BR165" s="740"/>
      <c r="BS165" s="740"/>
      <c r="BT165" s="740"/>
      <c r="BU165" s="740"/>
      <c r="BV165" s="740"/>
      <c r="BW165" s="740"/>
      <c r="BX165" s="740"/>
      <c r="BY165" s="740"/>
      <c r="BZ165" s="740"/>
      <c r="CA165" s="740"/>
      <c r="CB165" s="740"/>
      <c r="CC165" s="740"/>
      <c r="CD165" s="740"/>
      <c r="CE165" s="740"/>
      <c r="CF165" s="740"/>
      <c r="CG165" s="740"/>
      <c r="CH165" s="740"/>
      <c r="CI165" s="740"/>
      <c r="CJ165" s="740"/>
      <c r="CK165" s="740"/>
      <c r="CL165" s="740"/>
      <c r="CM165" s="740"/>
      <c r="CN165" s="740"/>
      <c r="CO165" s="740"/>
      <c r="CP165" s="740"/>
      <c r="CQ165" s="740"/>
      <c r="CR165" s="740"/>
      <c r="CS165" s="740"/>
      <c r="CT165" s="740"/>
      <c r="CU165" s="740"/>
      <c r="CV165" s="740"/>
      <c r="CW165" s="740"/>
      <c r="CX165" s="740"/>
      <c r="CY165" s="740"/>
      <c r="CZ165" s="740"/>
      <c r="DA165" s="740"/>
      <c r="DB165" s="740"/>
      <c r="DC165" s="740"/>
      <c r="DD165" s="740"/>
      <c r="DE165" s="740"/>
      <c r="DF165" s="740"/>
      <c r="DG165" s="740"/>
      <c r="DH165" s="740"/>
      <c r="DI165" s="740"/>
      <c r="DJ165" s="740"/>
      <c r="DK165" s="740"/>
      <c r="DL165" s="740"/>
      <c r="DM165" s="740"/>
      <c r="DN165" s="740"/>
      <c r="DO165" s="740"/>
      <c r="DP165" s="740"/>
      <c r="DQ165" s="740"/>
      <c r="DR165" s="740"/>
      <c r="DS165" s="740"/>
      <c r="DT165" s="740"/>
      <c r="DU165" s="740"/>
      <c r="DV165" s="740"/>
      <c r="DW165" s="740"/>
      <c r="DX165" s="740"/>
      <c r="DY165" s="740"/>
      <c r="DZ165" s="740"/>
      <c r="EA165" s="740"/>
      <c r="EB165" s="740"/>
      <c r="EC165" s="740"/>
      <c r="ED165" s="740"/>
      <c r="EE165" s="740"/>
      <c r="EF165" s="740"/>
      <c r="EG165" s="740"/>
      <c r="EH165" s="740"/>
      <c r="EI165" s="740"/>
      <c r="EJ165" s="740"/>
      <c r="EK165" s="740"/>
      <c r="EL165" s="740"/>
      <c r="EM165" s="740"/>
      <c r="EN165" s="740"/>
      <c r="EO165" s="740"/>
      <c r="EP165" s="740"/>
      <c r="EQ165" s="740"/>
      <c r="ER165" s="740"/>
      <c r="ES165" s="740"/>
      <c r="ET165" s="740"/>
      <c r="EU165" s="740"/>
      <c r="EV165" s="740"/>
      <c r="EW165" s="740"/>
      <c r="EX165" s="740"/>
      <c r="EY165" s="740"/>
      <c r="EZ165" s="740"/>
      <c r="FA165" s="740"/>
      <c r="FB165" s="740"/>
      <c r="FC165" s="740"/>
      <c r="FD165" s="740"/>
      <c r="FE165" s="740"/>
      <c r="FF165" s="740"/>
      <c r="FG165" s="740"/>
      <c r="FH165" s="740"/>
      <c r="FI165" s="740"/>
      <c r="FJ165" s="740"/>
      <c r="FK165" s="740"/>
      <c r="FL165" s="740"/>
      <c r="FM165" s="740"/>
      <c r="FN165" s="740"/>
      <c r="FO165" s="740"/>
      <c r="FP165" s="740"/>
      <c r="FQ165" s="740"/>
      <c r="FR165" s="740"/>
      <c r="FS165" s="740"/>
      <c r="FT165" s="740"/>
      <c r="FU165" s="740"/>
      <c r="FV165" s="740"/>
      <c r="FW165" s="740"/>
      <c r="FX165" s="740"/>
      <c r="FY165" s="740"/>
      <c r="FZ165" s="740"/>
      <c r="GA165" s="740"/>
      <c r="GB165" s="740"/>
      <c r="GC165" s="740"/>
      <c r="GD165" s="740"/>
      <c r="GE165" s="740"/>
      <c r="GF165" s="740"/>
      <c r="GG165" s="740"/>
      <c r="GH165" s="740"/>
      <c r="GI165" s="740"/>
      <c r="GJ165" s="740"/>
      <c r="GK165" s="740"/>
      <c r="GL165" s="740"/>
      <c r="GM165" s="740"/>
      <c r="GN165" s="740"/>
      <c r="GO165" s="740"/>
      <c r="GP165" s="740"/>
      <c r="GQ165" s="740"/>
      <c r="GR165" s="740"/>
      <c r="GS165" s="740"/>
      <c r="GT165" s="740"/>
      <c r="GU165" s="740"/>
      <c r="GV165" s="740"/>
      <c r="GW165" s="740"/>
    </row>
    <row r="166" spans="1:205" ht="24" customHeight="1" x14ac:dyDescent="0.2">
      <c r="A166" s="2503"/>
      <c r="E166" s="131"/>
      <c r="F166" s="111" t="s">
        <v>465</v>
      </c>
      <c r="G166" s="111"/>
      <c r="H166" s="111"/>
      <c r="I166" s="2195">
        <v>0.88</v>
      </c>
      <c r="J166" s="111"/>
      <c r="K166" s="112"/>
      <c r="L166" s="2554">
        <f>L165*$I$166</f>
        <v>3.8720000000000003</v>
      </c>
      <c r="M166" s="2197"/>
      <c r="N166" s="2554">
        <f>N165*$I$166</f>
        <v>5.5880000000000001</v>
      </c>
      <c r="O166" s="1507"/>
      <c r="P166" s="2554">
        <f>P165*$I$166</f>
        <v>7.3040000000000003</v>
      </c>
      <c r="Q166" s="2199"/>
      <c r="R166" s="740"/>
      <c r="S166" s="740"/>
      <c r="T166" s="740"/>
      <c r="U166" s="740"/>
      <c r="V166" s="740"/>
      <c r="W166" s="740"/>
      <c r="X166" s="740"/>
      <c r="Y166" s="740"/>
      <c r="Z166" s="740"/>
      <c r="AB166" s="189"/>
      <c r="AI166" s="189"/>
      <c r="AJ166" s="468" t="s">
        <v>461</v>
      </c>
      <c r="AK166" s="189"/>
      <c r="AL166" s="189"/>
      <c r="AM166" s="189"/>
      <c r="AN166" s="291"/>
      <c r="AO166" s="801">
        <v>4.0000000000000001E-3</v>
      </c>
      <c r="AP166" s="189"/>
      <c r="AQ166" s="291"/>
      <c r="AR166" s="189"/>
      <c r="AS166" s="687"/>
      <c r="AT166" s="189"/>
      <c r="AU166" s="687"/>
      <c r="AV166" s="189"/>
      <c r="AW166" s="687"/>
      <c r="AX166" s="189"/>
      <c r="AY166" s="687"/>
      <c r="AZ166" s="740"/>
      <c r="BA166" s="740"/>
      <c r="BB166" s="740"/>
      <c r="BC166" s="740"/>
      <c r="BD166" s="740"/>
      <c r="BE166" s="740"/>
      <c r="BF166" s="740"/>
      <c r="BG166" s="740"/>
      <c r="BH166" s="740"/>
      <c r="BI166" s="740"/>
      <c r="BJ166" s="740"/>
      <c r="BK166" s="740"/>
      <c r="BL166" s="740"/>
      <c r="BM166" s="740"/>
      <c r="BN166" s="740"/>
      <c r="BO166" s="740"/>
      <c r="BP166" s="740"/>
      <c r="BQ166" s="740"/>
      <c r="BR166" s="740"/>
      <c r="BS166" s="740"/>
      <c r="BT166" s="740"/>
      <c r="BU166" s="740"/>
      <c r="BV166" s="740"/>
      <c r="BW166" s="740"/>
      <c r="BX166" s="740"/>
      <c r="BY166" s="740"/>
      <c r="BZ166" s="740"/>
      <c r="CA166" s="740"/>
      <c r="CB166" s="740"/>
      <c r="CC166" s="740"/>
      <c r="CD166" s="740"/>
      <c r="CE166" s="740"/>
      <c r="CF166" s="740"/>
      <c r="CG166" s="740"/>
      <c r="CH166" s="740"/>
      <c r="CI166" s="740"/>
      <c r="CJ166" s="740"/>
      <c r="CK166" s="740"/>
      <c r="CL166" s="740"/>
      <c r="CM166" s="740"/>
      <c r="CN166" s="740"/>
      <c r="CO166" s="740"/>
      <c r="CP166" s="740"/>
      <c r="CQ166" s="740"/>
      <c r="CR166" s="740"/>
      <c r="CS166" s="740"/>
      <c r="CT166" s="740"/>
      <c r="CU166" s="740"/>
      <c r="CV166" s="740"/>
      <c r="CW166" s="740"/>
      <c r="CX166" s="740"/>
      <c r="CY166" s="740"/>
      <c r="CZ166" s="740"/>
      <c r="DA166" s="740"/>
      <c r="DB166" s="740"/>
      <c r="DC166" s="740"/>
      <c r="DD166" s="740"/>
      <c r="DE166" s="740"/>
      <c r="DF166" s="740"/>
      <c r="DG166" s="740"/>
      <c r="DH166" s="740"/>
      <c r="DI166" s="740"/>
      <c r="DJ166" s="740"/>
      <c r="DK166" s="740"/>
      <c r="DL166" s="740"/>
      <c r="DM166" s="740"/>
      <c r="DN166" s="740"/>
      <c r="DO166" s="740"/>
      <c r="DP166" s="740"/>
      <c r="DQ166" s="740"/>
      <c r="DR166" s="740"/>
      <c r="DS166" s="740"/>
      <c r="DT166" s="740"/>
      <c r="DU166" s="740"/>
      <c r="DV166" s="740"/>
      <c r="DW166" s="740"/>
      <c r="DX166" s="740"/>
      <c r="DY166" s="740"/>
      <c r="DZ166" s="740"/>
      <c r="EA166" s="740"/>
      <c r="EB166" s="740"/>
      <c r="EC166" s="740"/>
      <c r="ED166" s="740"/>
      <c r="EE166" s="740"/>
      <c r="EF166" s="740"/>
      <c r="EG166" s="740"/>
      <c r="EH166" s="740"/>
      <c r="EI166" s="740"/>
      <c r="EJ166" s="740"/>
      <c r="EK166" s="740"/>
      <c r="EL166" s="740"/>
      <c r="EM166" s="740"/>
      <c r="EN166" s="740"/>
      <c r="EO166" s="740"/>
      <c r="EP166" s="740"/>
      <c r="EQ166" s="740"/>
      <c r="ER166" s="740"/>
      <c r="ES166" s="740"/>
      <c r="ET166" s="740"/>
      <c r="EU166" s="740"/>
      <c r="EV166" s="740"/>
      <c r="EW166" s="740"/>
      <c r="EX166" s="740"/>
      <c r="EY166" s="740"/>
      <c r="EZ166" s="740"/>
      <c r="FA166" s="740"/>
      <c r="FB166" s="740"/>
      <c r="FC166" s="740"/>
      <c r="FD166" s="740"/>
      <c r="FE166" s="740"/>
      <c r="FF166" s="740"/>
      <c r="FG166" s="740"/>
      <c r="FH166" s="740"/>
      <c r="FI166" s="740"/>
      <c r="FJ166" s="740"/>
      <c r="FK166" s="740"/>
      <c r="FL166" s="740"/>
      <c r="FM166" s="740"/>
      <c r="FN166" s="740"/>
      <c r="FO166" s="740"/>
      <c r="FP166" s="740"/>
      <c r="FQ166" s="740"/>
      <c r="FR166" s="740"/>
      <c r="FS166" s="740"/>
      <c r="FT166" s="740"/>
      <c r="FU166" s="740"/>
      <c r="FV166" s="740"/>
      <c r="FW166" s="740"/>
      <c r="FX166" s="740"/>
      <c r="FY166" s="740"/>
      <c r="FZ166" s="740"/>
      <c r="GA166" s="740"/>
      <c r="GB166" s="740"/>
      <c r="GC166" s="740"/>
      <c r="GD166" s="740"/>
      <c r="GE166" s="740"/>
      <c r="GF166" s="740"/>
      <c r="GG166" s="740"/>
      <c r="GH166" s="740"/>
      <c r="GI166" s="740"/>
      <c r="GJ166" s="740"/>
      <c r="GK166" s="740"/>
      <c r="GL166" s="740"/>
      <c r="GM166" s="740"/>
      <c r="GN166" s="740"/>
      <c r="GO166" s="740"/>
      <c r="GP166" s="740"/>
      <c r="GQ166" s="740"/>
      <c r="GR166" s="740"/>
      <c r="GS166" s="740"/>
      <c r="GT166" s="740"/>
      <c r="GU166" s="740"/>
      <c r="GV166" s="740"/>
      <c r="GW166" s="740"/>
    </row>
    <row r="167" spans="1:205" ht="24" customHeight="1" x14ac:dyDescent="0.2">
      <c r="A167" s="2503"/>
      <c r="E167" s="131"/>
      <c r="F167" s="111"/>
      <c r="G167" s="111"/>
      <c r="H167" s="111"/>
      <c r="I167" s="28"/>
      <c r="J167" s="111"/>
      <c r="K167" s="152" t="s">
        <v>736</v>
      </c>
      <c r="L167" s="2203">
        <f>L166*100</f>
        <v>387.20000000000005</v>
      </c>
      <c r="M167" s="2198" t="s">
        <v>857</v>
      </c>
      <c r="N167" s="2203">
        <f>N166*100</f>
        <v>558.79999999999995</v>
      </c>
      <c r="O167" s="2198" t="s">
        <v>857</v>
      </c>
      <c r="P167" s="2203">
        <f>P166*100</f>
        <v>730.4</v>
      </c>
      <c r="Q167" s="2198" t="s">
        <v>857</v>
      </c>
      <c r="R167" s="740"/>
      <c r="S167" s="740"/>
      <c r="T167" s="740"/>
      <c r="U167" s="740"/>
      <c r="V167" s="740"/>
      <c r="W167" s="740"/>
      <c r="X167" s="740"/>
      <c r="Y167" s="740"/>
      <c r="Z167" s="740"/>
      <c r="AA167" s="739"/>
      <c r="AB167" s="189"/>
      <c r="AI167" s="189"/>
      <c r="AJ167" s="468" t="s">
        <v>462</v>
      </c>
      <c r="AK167" s="189"/>
      <c r="AL167" s="189"/>
      <c r="AM167" s="189"/>
      <c r="AN167" s="291"/>
      <c r="AO167" s="801">
        <v>3.3999999999999998E-3</v>
      </c>
      <c r="AP167" s="189"/>
      <c r="AQ167" s="291"/>
      <c r="AR167" s="189"/>
      <c r="AS167" s="687"/>
      <c r="AT167" s="189"/>
      <c r="AU167" s="687"/>
      <c r="AV167" s="189"/>
      <c r="AW167" s="687"/>
      <c r="AX167" s="189"/>
      <c r="AY167" s="687"/>
      <c r="AZ167" s="740"/>
      <c r="BA167" s="740"/>
      <c r="BB167" s="740"/>
      <c r="BC167" s="740"/>
      <c r="BD167" s="740"/>
      <c r="BE167" s="740"/>
      <c r="BF167" s="740"/>
      <c r="BG167" s="740"/>
      <c r="BH167" s="740"/>
      <c r="BI167" s="740"/>
      <c r="BJ167" s="740"/>
      <c r="BK167" s="740"/>
      <c r="BL167" s="740"/>
      <c r="BM167" s="740"/>
      <c r="BN167" s="740"/>
      <c r="BO167" s="740"/>
      <c r="BP167" s="740"/>
      <c r="BQ167" s="740"/>
      <c r="BR167" s="740"/>
      <c r="BS167" s="740"/>
      <c r="BT167" s="740"/>
      <c r="BU167" s="740"/>
      <c r="BV167" s="740"/>
      <c r="BW167" s="740"/>
      <c r="BX167" s="740"/>
      <c r="BY167" s="740"/>
      <c r="BZ167" s="740"/>
      <c r="CA167" s="740"/>
      <c r="CB167" s="740"/>
      <c r="CC167" s="740"/>
      <c r="CD167" s="740"/>
      <c r="CE167" s="740"/>
      <c r="CF167" s="740"/>
      <c r="CG167" s="740"/>
      <c r="CH167" s="740"/>
      <c r="CI167" s="740"/>
      <c r="CJ167" s="740"/>
      <c r="CK167" s="740"/>
      <c r="CL167" s="740"/>
      <c r="CM167" s="740"/>
      <c r="CN167" s="740"/>
      <c r="CO167" s="740"/>
      <c r="CP167" s="740"/>
      <c r="CQ167" s="740"/>
      <c r="CR167" s="740"/>
      <c r="CS167" s="740"/>
      <c r="CT167" s="740"/>
      <c r="CU167" s="740"/>
      <c r="CV167" s="740"/>
      <c r="CW167" s="740"/>
      <c r="CX167" s="740"/>
      <c r="CY167" s="740"/>
      <c r="CZ167" s="740"/>
      <c r="DA167" s="740"/>
      <c r="DB167" s="740"/>
      <c r="DC167" s="740"/>
      <c r="DD167" s="740"/>
      <c r="DE167" s="740"/>
      <c r="DF167" s="740"/>
      <c r="DG167" s="740"/>
      <c r="DH167" s="740"/>
      <c r="DI167" s="740"/>
      <c r="DJ167" s="740"/>
      <c r="DK167" s="740"/>
      <c r="DL167" s="740"/>
      <c r="DM167" s="740"/>
      <c r="DN167" s="740"/>
      <c r="DO167" s="740"/>
      <c r="DP167" s="740"/>
      <c r="DQ167" s="740"/>
      <c r="DR167" s="740"/>
      <c r="DS167" s="740"/>
      <c r="DT167" s="740"/>
      <c r="DU167" s="740"/>
      <c r="DV167" s="740"/>
      <c r="DW167" s="740"/>
      <c r="DX167" s="740"/>
      <c r="DY167" s="740"/>
      <c r="DZ167" s="740"/>
      <c r="EA167" s="740"/>
      <c r="EB167" s="740"/>
      <c r="EC167" s="740"/>
      <c r="ED167" s="740"/>
      <c r="EE167" s="740"/>
      <c r="EF167" s="740"/>
      <c r="EG167" s="740"/>
      <c r="EH167" s="740"/>
      <c r="EI167" s="740"/>
      <c r="EJ167" s="740"/>
      <c r="EK167" s="740"/>
      <c r="EL167" s="740"/>
      <c r="EM167" s="740"/>
      <c r="EN167" s="740"/>
      <c r="EO167" s="740"/>
      <c r="EP167" s="740"/>
      <c r="EQ167" s="740"/>
      <c r="ER167" s="740"/>
      <c r="ES167" s="740"/>
      <c r="ET167" s="740"/>
      <c r="EU167" s="740"/>
      <c r="EV167" s="740"/>
      <c r="EW167" s="740"/>
      <c r="EX167" s="740"/>
      <c r="EY167" s="740"/>
      <c r="EZ167" s="740"/>
      <c r="FA167" s="740"/>
      <c r="FB167" s="740"/>
      <c r="FC167" s="740"/>
      <c r="FD167" s="740"/>
      <c r="FE167" s="740"/>
      <c r="FF167" s="740"/>
      <c r="FG167" s="740"/>
      <c r="FH167" s="740"/>
      <c r="FI167" s="740"/>
      <c r="FJ167" s="740"/>
      <c r="FK167" s="740"/>
      <c r="FL167" s="740"/>
      <c r="FM167" s="740"/>
      <c r="FN167" s="740"/>
      <c r="FO167" s="740"/>
      <c r="FP167" s="740"/>
      <c r="FQ167" s="740"/>
      <c r="FR167" s="740"/>
      <c r="FS167" s="740"/>
      <c r="FT167" s="740"/>
      <c r="FU167" s="740"/>
      <c r="FV167" s="740"/>
      <c r="FW167" s="740"/>
      <c r="FX167" s="740"/>
      <c r="FY167" s="740"/>
      <c r="FZ167" s="740"/>
      <c r="GA167" s="740"/>
      <c r="GB167" s="740"/>
      <c r="GC167" s="740"/>
      <c r="GD167" s="740"/>
      <c r="GE167" s="740"/>
      <c r="GF167" s="740"/>
      <c r="GG167" s="740"/>
      <c r="GH167" s="740"/>
      <c r="GI167" s="740"/>
      <c r="GJ167" s="740"/>
      <c r="GK167" s="740"/>
      <c r="GL167" s="740"/>
      <c r="GM167" s="740"/>
      <c r="GN167" s="740"/>
      <c r="GO167" s="740"/>
      <c r="GP167" s="740"/>
      <c r="GQ167" s="740"/>
      <c r="GR167" s="740"/>
      <c r="GS167" s="740"/>
      <c r="GT167" s="740"/>
      <c r="GU167" s="740"/>
      <c r="GV167" s="740"/>
      <c r="GW167" s="740"/>
    </row>
    <row r="168" spans="1:205" ht="24" customHeight="1" x14ac:dyDescent="0.2">
      <c r="A168" s="2503"/>
      <c r="E168" s="139"/>
      <c r="F168" s="121"/>
      <c r="G168" s="121"/>
      <c r="H168" s="121"/>
      <c r="I168" s="259"/>
      <c r="J168" s="121"/>
      <c r="K168" s="2210"/>
      <c r="L168" s="139"/>
      <c r="M168" s="2196"/>
      <c r="N168" s="139"/>
      <c r="O168" s="2196"/>
      <c r="P168" s="111"/>
      <c r="Q168" s="2199"/>
      <c r="R168" s="740"/>
      <c r="S168" s="740"/>
      <c r="T168" s="740"/>
      <c r="U168" s="740"/>
      <c r="V168" s="740"/>
      <c r="W168" s="740"/>
      <c r="X168" s="740"/>
      <c r="Y168" s="740"/>
      <c r="Z168" s="740"/>
      <c r="AA168" s="739"/>
      <c r="AB168" s="189"/>
      <c r="AI168" s="189"/>
      <c r="AJ168" s="468" t="s">
        <v>463</v>
      </c>
      <c r="AK168" s="189"/>
      <c r="AL168" s="189"/>
      <c r="AM168" s="189"/>
      <c r="AN168" s="291"/>
      <c r="AO168" s="801">
        <v>1.4E-3</v>
      </c>
      <c r="AP168" s="189"/>
      <c r="AQ168" s="291"/>
      <c r="AR168" s="189"/>
      <c r="AS168" s="687"/>
      <c r="AT168" s="189"/>
      <c r="AU168" s="687"/>
      <c r="AV168" s="189"/>
      <c r="AW168" s="687"/>
      <c r="AX168" s="189"/>
      <c r="AY168" s="687"/>
      <c r="AZ168" s="740"/>
      <c r="BA168" s="740"/>
      <c r="BB168" s="740"/>
      <c r="BC168" s="740"/>
      <c r="BD168" s="740"/>
      <c r="BE168" s="740"/>
      <c r="BF168" s="740"/>
      <c r="BG168" s="740"/>
      <c r="BH168" s="740"/>
      <c r="BI168" s="740"/>
      <c r="BJ168" s="740"/>
      <c r="BK168" s="740"/>
      <c r="BL168" s="740"/>
      <c r="BM168" s="740"/>
      <c r="BN168" s="740"/>
      <c r="BO168" s="740"/>
      <c r="BP168" s="740"/>
      <c r="BQ168" s="740"/>
      <c r="BR168" s="740"/>
      <c r="BS168" s="740"/>
      <c r="BT168" s="740"/>
      <c r="BU168" s="740"/>
      <c r="BV168" s="740"/>
      <c r="BW168" s="740"/>
      <c r="BX168" s="740"/>
      <c r="BY168" s="740"/>
      <c r="BZ168" s="740"/>
      <c r="CA168" s="740"/>
      <c r="CB168" s="740"/>
      <c r="CC168" s="740"/>
      <c r="CD168" s="740"/>
      <c r="CE168" s="740"/>
      <c r="CF168" s="740"/>
      <c r="CG168" s="740"/>
      <c r="CH168" s="740"/>
      <c r="CI168" s="740"/>
      <c r="CJ168" s="740"/>
      <c r="CK168" s="740"/>
      <c r="CL168" s="740"/>
      <c r="CM168" s="740"/>
      <c r="CN168" s="740"/>
      <c r="CO168" s="740"/>
      <c r="CP168" s="740"/>
      <c r="CQ168" s="740"/>
      <c r="CR168" s="740"/>
      <c r="CS168" s="740"/>
      <c r="CT168" s="740"/>
      <c r="CU168" s="740"/>
      <c r="CV168" s="740"/>
      <c r="CW168" s="740"/>
      <c r="CX168" s="740"/>
      <c r="CY168" s="740"/>
      <c r="CZ168" s="740"/>
      <c r="DA168" s="740"/>
      <c r="DB168" s="740"/>
      <c r="DC168" s="740"/>
      <c r="DD168" s="740"/>
      <c r="DE168" s="740"/>
      <c r="DF168" s="740"/>
      <c r="DG168" s="740"/>
      <c r="DH168" s="740"/>
      <c r="DI168" s="740"/>
      <c r="DJ168" s="740"/>
      <c r="DK168" s="740"/>
      <c r="DL168" s="740"/>
      <c r="DM168" s="740"/>
      <c r="DN168" s="740"/>
      <c r="DO168" s="740"/>
      <c r="DP168" s="740"/>
      <c r="DQ168" s="740"/>
      <c r="DR168" s="740"/>
      <c r="DS168" s="740"/>
      <c r="DT168" s="740"/>
      <c r="DU168" s="740"/>
      <c r="DV168" s="740"/>
      <c r="DW168" s="740"/>
      <c r="DX168" s="740"/>
      <c r="DY168" s="740"/>
      <c r="DZ168" s="740"/>
      <c r="EA168" s="740"/>
      <c r="EB168" s="740"/>
      <c r="EC168" s="740"/>
      <c r="ED168" s="740"/>
      <c r="EE168" s="740"/>
      <c r="EF168" s="740"/>
      <c r="EG168" s="740"/>
      <c r="EH168" s="740"/>
      <c r="EI168" s="740"/>
      <c r="EJ168" s="740"/>
      <c r="EK168" s="740"/>
      <c r="EL168" s="740"/>
      <c r="EM168" s="740"/>
      <c r="EN168" s="740"/>
      <c r="EO168" s="740"/>
      <c r="EP168" s="740"/>
      <c r="EQ168" s="740"/>
      <c r="ER168" s="740"/>
      <c r="ES168" s="740"/>
      <c r="ET168" s="740"/>
      <c r="EU168" s="740"/>
      <c r="EV168" s="740"/>
      <c r="EW168" s="740"/>
      <c r="EX168" s="740"/>
      <c r="EY168" s="740"/>
      <c r="EZ168" s="740"/>
      <c r="FA168" s="740"/>
      <c r="FB168" s="740"/>
      <c r="FC168" s="740"/>
      <c r="FD168" s="740"/>
      <c r="FE168" s="740"/>
      <c r="FF168" s="740"/>
      <c r="FG168" s="740"/>
      <c r="FH168" s="740"/>
      <c r="FI168" s="740"/>
      <c r="FJ168" s="740"/>
      <c r="FK168" s="740"/>
      <c r="FL168" s="740"/>
      <c r="FM168" s="740"/>
      <c r="FN168" s="740"/>
      <c r="FO168" s="740"/>
      <c r="FP168" s="740"/>
      <c r="FQ168" s="740"/>
      <c r="FR168" s="740"/>
      <c r="FS168" s="740"/>
      <c r="FT168" s="740"/>
      <c r="FU168" s="740"/>
      <c r="FV168" s="740"/>
      <c r="FW168" s="740"/>
      <c r="FX168" s="740"/>
      <c r="FY168" s="740"/>
      <c r="FZ168" s="740"/>
      <c r="GA168" s="740"/>
      <c r="GB168" s="740"/>
      <c r="GC168" s="740"/>
      <c r="GD168" s="740"/>
      <c r="GE168" s="740"/>
      <c r="GF168" s="740"/>
      <c r="GG168" s="740"/>
      <c r="GH168" s="740"/>
      <c r="GI168" s="740"/>
      <c r="GJ168" s="740"/>
      <c r="GK168" s="740"/>
      <c r="GL168" s="740"/>
      <c r="GM168" s="740"/>
      <c r="GN168" s="740"/>
      <c r="GO168" s="740"/>
      <c r="GP168" s="740"/>
      <c r="GQ168" s="740"/>
      <c r="GR168" s="740"/>
      <c r="GS168" s="740"/>
      <c r="GT168" s="740"/>
      <c r="GU168" s="740"/>
      <c r="GV168" s="740"/>
      <c r="GW168" s="740"/>
    </row>
    <row r="169" spans="1:205" ht="24" customHeight="1" x14ac:dyDescent="0.2">
      <c r="A169" s="2503"/>
      <c r="D169"/>
      <c r="E169" s="131"/>
      <c r="F169" s="111"/>
      <c r="G169" s="111"/>
      <c r="H169" s="111"/>
      <c r="I169" s="111"/>
      <c r="J169" s="111"/>
      <c r="K169" s="112"/>
      <c r="L169" s="131"/>
      <c r="M169" s="132"/>
      <c r="N169" s="131"/>
      <c r="O169" s="132"/>
      <c r="P169" s="111"/>
      <c r="Q169" s="132"/>
      <c r="R169"/>
      <c r="S169"/>
      <c r="T169" s="740"/>
      <c r="U169" s="740"/>
      <c r="V169" s="740"/>
      <c r="W169" s="740"/>
      <c r="X169" s="740"/>
      <c r="Y169" s="740"/>
      <c r="Z169" s="740"/>
      <c r="AA169" s="739"/>
      <c r="AB169" s="189"/>
      <c r="AI169" s="189"/>
      <c r="AJ169" s="468" t="s">
        <v>470</v>
      </c>
      <c r="AK169" s="189"/>
      <c r="AL169" s="189"/>
      <c r="AM169" s="189"/>
      <c r="AN169" s="291"/>
      <c r="AO169" s="801">
        <v>1.5E-3</v>
      </c>
      <c r="AP169" s="189"/>
      <c r="AQ169" s="291"/>
      <c r="AR169" s="189"/>
      <c r="AS169" s="687"/>
      <c r="AT169" s="189"/>
      <c r="AU169" s="687"/>
      <c r="AV169" s="189"/>
      <c r="AW169" s="687"/>
      <c r="AX169" s="189"/>
      <c r="AY169" s="687"/>
      <c r="AZ169" s="740"/>
      <c r="BA169" s="740"/>
      <c r="BB169" s="740"/>
      <c r="BC169" s="740"/>
      <c r="BD169" s="740"/>
      <c r="BE169" s="740"/>
      <c r="BF169" s="740"/>
      <c r="BG169" s="740"/>
      <c r="BH169" s="740"/>
      <c r="BI169" s="740"/>
      <c r="BJ169" s="740"/>
      <c r="BK169" s="740"/>
      <c r="BL169" s="740"/>
      <c r="BM169" s="740"/>
      <c r="BN169" s="740"/>
      <c r="BO169" s="740"/>
      <c r="BP169" s="740"/>
      <c r="BQ169" s="740"/>
      <c r="BR169" s="740"/>
      <c r="BS169" s="740"/>
      <c r="BT169" s="740"/>
      <c r="BU169" s="740"/>
      <c r="BV169" s="740"/>
      <c r="BW169" s="740"/>
      <c r="BX169" s="740"/>
      <c r="BY169" s="740"/>
      <c r="BZ169" s="740"/>
      <c r="CA169" s="740"/>
      <c r="CB169" s="740"/>
      <c r="CC169" s="740"/>
      <c r="CD169" s="740"/>
      <c r="CE169" s="740"/>
      <c r="CF169" s="740"/>
      <c r="CG169" s="740"/>
      <c r="CH169" s="740"/>
      <c r="CI169" s="740"/>
      <c r="CJ169" s="740"/>
      <c r="CK169" s="740"/>
      <c r="CL169" s="740"/>
      <c r="CM169" s="740"/>
      <c r="CN169" s="740"/>
      <c r="CO169" s="740"/>
      <c r="CP169" s="740"/>
      <c r="CQ169" s="740"/>
      <c r="CR169" s="740"/>
      <c r="CS169" s="740"/>
      <c r="CT169" s="740"/>
      <c r="CU169" s="740"/>
      <c r="CV169" s="740"/>
      <c r="CW169" s="740"/>
      <c r="CX169" s="740"/>
      <c r="CY169" s="740"/>
      <c r="CZ169" s="740"/>
      <c r="DA169" s="740"/>
      <c r="DB169" s="740"/>
      <c r="DC169" s="740"/>
      <c r="DD169" s="740"/>
      <c r="DE169" s="740"/>
      <c r="DF169" s="740"/>
      <c r="DG169" s="740"/>
      <c r="DH169" s="740"/>
      <c r="DI169" s="740"/>
      <c r="DJ169" s="740"/>
      <c r="DK169" s="740"/>
      <c r="DL169" s="740"/>
      <c r="DM169" s="740"/>
      <c r="DN169" s="740"/>
      <c r="DO169" s="740"/>
      <c r="DP169" s="740"/>
      <c r="DQ169" s="740"/>
      <c r="DR169" s="740"/>
      <c r="DS169" s="740"/>
      <c r="DT169" s="740"/>
      <c r="DU169" s="740"/>
      <c r="DV169" s="740"/>
      <c r="DW169" s="740"/>
      <c r="DX169" s="740"/>
      <c r="DY169" s="740"/>
      <c r="DZ169" s="740"/>
      <c r="EA169" s="740"/>
      <c r="EB169" s="740"/>
      <c r="EC169" s="740"/>
      <c r="ED169" s="740"/>
      <c r="EE169" s="740"/>
      <c r="EF169" s="740"/>
      <c r="EG169" s="740"/>
      <c r="EH169" s="740"/>
      <c r="EI169" s="740"/>
      <c r="EJ169" s="740"/>
      <c r="EK169" s="740"/>
      <c r="EL169" s="740"/>
      <c r="EM169" s="740"/>
      <c r="EN169" s="740"/>
      <c r="EO169" s="740"/>
      <c r="EP169" s="740"/>
      <c r="EQ169" s="740"/>
      <c r="ER169" s="740"/>
      <c r="ES169" s="740"/>
      <c r="ET169" s="740"/>
      <c r="EU169" s="740"/>
      <c r="EV169" s="740"/>
      <c r="EW169" s="740"/>
      <c r="EX169" s="740"/>
      <c r="EY169" s="740"/>
      <c r="EZ169" s="740"/>
      <c r="FA169" s="740"/>
      <c r="FB169" s="740"/>
      <c r="FC169" s="740"/>
      <c r="FD169" s="740"/>
      <c r="FE169" s="740"/>
      <c r="FF169" s="740"/>
      <c r="FG169" s="740"/>
      <c r="FH169" s="740"/>
      <c r="FI169" s="740"/>
      <c r="FJ169" s="740"/>
      <c r="FK169" s="740"/>
      <c r="FL169" s="740"/>
      <c r="FM169" s="740"/>
      <c r="FN169" s="740"/>
      <c r="FO169" s="740"/>
      <c r="FP169" s="740"/>
      <c r="FQ169" s="740"/>
      <c r="FR169" s="740"/>
      <c r="FS169" s="740"/>
      <c r="FT169" s="740"/>
      <c r="FU169" s="740"/>
      <c r="FV169" s="740"/>
      <c r="FW169" s="740"/>
      <c r="FX169" s="740"/>
      <c r="FY169" s="740"/>
      <c r="FZ169" s="740"/>
      <c r="GA169" s="740"/>
      <c r="GB169" s="740"/>
      <c r="GC169" s="740"/>
      <c r="GD169" s="740"/>
      <c r="GE169" s="740"/>
      <c r="GF169" s="740"/>
      <c r="GG169" s="740"/>
      <c r="GH169" s="740"/>
      <c r="GI169" s="740"/>
      <c r="GJ169" s="740"/>
      <c r="GK169" s="740"/>
      <c r="GL169" s="740"/>
      <c r="GM169" s="740"/>
      <c r="GN169" s="740"/>
      <c r="GO169" s="740"/>
      <c r="GP169" s="740"/>
      <c r="GQ169" s="740"/>
      <c r="GR169" s="740"/>
      <c r="GS169" s="740"/>
      <c r="GT169" s="740"/>
      <c r="GU169" s="740"/>
      <c r="GV169" s="740"/>
      <c r="GW169" s="740"/>
    </row>
    <row r="170" spans="1:205" ht="24" customHeight="1" x14ac:dyDescent="0.2">
      <c r="A170" s="2503"/>
      <c r="D170"/>
      <c r="E170" s="436"/>
      <c r="F170" s="259" t="s">
        <v>1097</v>
      </c>
      <c r="G170" s="259"/>
      <c r="H170" s="259"/>
      <c r="I170" s="121"/>
      <c r="J170" s="121"/>
      <c r="K170" s="2204" t="s">
        <v>1098</v>
      </c>
      <c r="L170" s="2213">
        <f>L39</f>
        <v>3200</v>
      </c>
      <c r="M170" s="336"/>
      <c r="N170" s="2213">
        <f>N39</f>
        <v>2700</v>
      </c>
      <c r="O170" s="336"/>
      <c r="P170" s="2214">
        <f>P39</f>
        <v>2400</v>
      </c>
      <c r="Q170" s="336"/>
      <c r="R170"/>
      <c r="S170"/>
      <c r="T170" s="740"/>
      <c r="U170" s="740"/>
      <c r="V170" s="740"/>
      <c r="W170" s="740"/>
      <c r="X170" s="740"/>
      <c r="Y170" s="740"/>
      <c r="Z170" s="740"/>
      <c r="AA170" s="739"/>
      <c r="AB170" s="189"/>
      <c r="AI170" s="189"/>
      <c r="AJ170" s="468" t="s">
        <v>471</v>
      </c>
      <c r="AK170" s="189"/>
      <c r="AL170" s="189"/>
      <c r="AM170" s="189"/>
      <c r="AN170" s="291"/>
      <c r="AO170" s="801">
        <v>2.7000000000000001E-3</v>
      </c>
      <c r="AP170" s="189"/>
      <c r="AQ170" s="291"/>
      <c r="AR170" s="189"/>
      <c r="AS170" s="687"/>
      <c r="AT170" s="189"/>
      <c r="AU170" s="687"/>
      <c r="AV170" s="189"/>
      <c r="AW170" s="687"/>
      <c r="AX170" s="189"/>
      <c r="AY170" s="687"/>
      <c r="AZ170" s="740"/>
      <c r="BA170" s="740"/>
      <c r="BB170" s="740"/>
      <c r="BC170" s="740"/>
      <c r="BD170" s="740"/>
      <c r="BE170" s="740"/>
      <c r="BF170" s="740"/>
      <c r="BG170" s="740"/>
      <c r="BH170" s="740"/>
      <c r="BI170" s="740"/>
      <c r="BJ170" s="740"/>
      <c r="BK170" s="740"/>
      <c r="BL170" s="740"/>
      <c r="BM170" s="740"/>
      <c r="BN170" s="740"/>
      <c r="BO170" s="740"/>
      <c r="BP170" s="740"/>
      <c r="BQ170" s="740"/>
      <c r="BR170" s="740"/>
      <c r="BS170" s="740"/>
      <c r="BT170" s="740"/>
      <c r="BU170" s="740"/>
      <c r="BV170" s="740"/>
      <c r="BW170" s="740"/>
      <c r="BX170" s="740"/>
      <c r="BY170" s="740"/>
      <c r="BZ170" s="740"/>
      <c r="CA170" s="740"/>
      <c r="CB170" s="740"/>
      <c r="CC170" s="740"/>
      <c r="CD170" s="740"/>
      <c r="CE170" s="740"/>
      <c r="CF170" s="740"/>
      <c r="CG170" s="740"/>
      <c r="CH170" s="740"/>
      <c r="CI170" s="740"/>
      <c r="CJ170" s="740"/>
      <c r="CK170" s="740"/>
      <c r="CL170" s="740"/>
      <c r="CM170" s="740"/>
      <c r="CN170" s="740"/>
      <c r="CO170" s="740"/>
      <c r="CP170" s="740"/>
      <c r="CQ170" s="740"/>
      <c r="CR170" s="740"/>
      <c r="CS170" s="740"/>
      <c r="CT170" s="740"/>
      <c r="CU170" s="740"/>
      <c r="CV170" s="740"/>
      <c r="CW170" s="740"/>
      <c r="CX170" s="740"/>
      <c r="CY170" s="740"/>
      <c r="CZ170" s="740"/>
      <c r="DA170" s="740"/>
      <c r="DB170" s="740"/>
      <c r="DC170" s="740"/>
      <c r="DD170" s="740"/>
      <c r="DE170" s="740"/>
      <c r="DF170" s="740"/>
      <c r="DG170" s="740"/>
      <c r="DH170" s="740"/>
      <c r="DI170" s="740"/>
      <c r="DJ170" s="740"/>
      <c r="DK170" s="740"/>
      <c r="DL170" s="740"/>
      <c r="DM170" s="740"/>
      <c r="DN170" s="740"/>
      <c r="DO170" s="740"/>
      <c r="DP170" s="740"/>
      <c r="DQ170" s="740"/>
      <c r="DR170" s="740"/>
      <c r="DS170" s="740"/>
      <c r="DT170" s="740"/>
      <c r="DU170" s="740"/>
      <c r="DV170" s="740"/>
      <c r="DW170" s="740"/>
      <c r="DX170" s="740"/>
      <c r="DY170" s="740"/>
      <c r="DZ170" s="740"/>
      <c r="EA170" s="740"/>
      <c r="EB170" s="740"/>
      <c r="EC170" s="740"/>
      <c r="ED170" s="740"/>
      <c r="EE170" s="740"/>
      <c r="EF170" s="740"/>
      <c r="EG170" s="740"/>
      <c r="EH170" s="740"/>
      <c r="EI170" s="740"/>
      <c r="EJ170" s="740"/>
      <c r="EK170" s="740"/>
      <c r="EL170" s="740"/>
      <c r="EM170" s="740"/>
      <c r="EN170" s="740"/>
      <c r="EO170" s="740"/>
      <c r="EP170" s="740"/>
      <c r="EQ170" s="740"/>
      <c r="ER170" s="740"/>
      <c r="ES170" s="740"/>
      <c r="ET170" s="740"/>
      <c r="EU170" s="740"/>
      <c r="EV170" s="740"/>
      <c r="EW170" s="740"/>
      <c r="EX170" s="740"/>
      <c r="EY170" s="740"/>
      <c r="EZ170" s="740"/>
      <c r="FA170" s="740"/>
      <c r="FB170" s="740"/>
      <c r="FC170" s="740"/>
      <c r="FD170" s="740"/>
      <c r="FE170" s="740"/>
      <c r="FF170" s="740"/>
      <c r="FG170" s="740"/>
      <c r="FH170" s="740"/>
      <c r="FI170" s="740"/>
      <c r="FJ170" s="740"/>
      <c r="FK170" s="740"/>
      <c r="FL170" s="740"/>
      <c r="FM170" s="740"/>
      <c r="FN170" s="740"/>
      <c r="FO170" s="740"/>
      <c r="FP170" s="740"/>
      <c r="FQ170" s="740"/>
      <c r="FR170" s="740"/>
      <c r="FS170" s="740"/>
      <c r="FT170" s="740"/>
      <c r="FU170" s="740"/>
      <c r="FV170" s="740"/>
      <c r="FW170" s="740"/>
      <c r="FX170" s="740"/>
      <c r="FY170" s="740"/>
      <c r="FZ170" s="740"/>
      <c r="GA170" s="740"/>
      <c r="GB170" s="740"/>
      <c r="GC170" s="740"/>
      <c r="GD170" s="740"/>
      <c r="GE170" s="740"/>
      <c r="GF170" s="740"/>
      <c r="GG170" s="740"/>
      <c r="GH170" s="740"/>
      <c r="GI170" s="740"/>
      <c r="GJ170" s="740"/>
      <c r="GK170" s="740"/>
      <c r="GL170" s="740"/>
      <c r="GM170" s="740"/>
      <c r="GN170" s="740"/>
      <c r="GO170" s="740"/>
      <c r="GP170" s="740"/>
      <c r="GQ170" s="740"/>
      <c r="GR170" s="740"/>
      <c r="GS170" s="740"/>
      <c r="GT170" s="740"/>
      <c r="GU170" s="740"/>
      <c r="GV170" s="740"/>
      <c r="GW170" s="740"/>
    </row>
    <row r="171" spans="1:205" ht="24" customHeight="1" x14ac:dyDescent="0.2">
      <c r="A171" s="2503"/>
      <c r="D171"/>
      <c r="E171" s="641"/>
      <c r="F171" s="16"/>
      <c r="G171" s="16"/>
      <c r="H171" s="2591" t="s">
        <v>466</v>
      </c>
      <c r="I171" s="2592">
        <v>6</v>
      </c>
      <c r="J171" s="3050" t="s">
        <v>872</v>
      </c>
      <c r="K171" s="1049" t="s">
        <v>737</v>
      </c>
      <c r="L171" s="2597">
        <f>L170/$I$171*10</f>
        <v>5333.3333333333339</v>
      </c>
      <c r="M171" s="2595" t="s">
        <v>857</v>
      </c>
      <c r="N171" s="2597">
        <f>N170/$I$171*10</f>
        <v>4500</v>
      </c>
      <c r="O171" s="2595" t="s">
        <v>857</v>
      </c>
      <c r="P171" s="2598">
        <f>P170/$I$171*10</f>
        <v>4000</v>
      </c>
      <c r="Q171" s="2595" t="s">
        <v>857</v>
      </c>
      <c r="R171"/>
      <c r="S171"/>
      <c r="T171" s="740"/>
      <c r="U171" s="740"/>
      <c r="V171" s="740"/>
      <c r="W171" s="740"/>
      <c r="X171" s="740"/>
      <c r="Y171" s="740"/>
      <c r="Z171" s="740"/>
      <c r="AA171" s="739"/>
      <c r="AB171" s="189"/>
      <c r="AI171" s="189"/>
      <c r="AJ171" s="468" t="s">
        <v>472</v>
      </c>
      <c r="AK171" s="189"/>
      <c r="AL171" s="189"/>
      <c r="AM171" s="189"/>
      <c r="AN171" s="291"/>
      <c r="AO171" s="801">
        <v>3.0000000000000001E-3</v>
      </c>
      <c r="AP171" s="189"/>
      <c r="AQ171" s="291"/>
      <c r="AR171" s="189"/>
      <c r="AS171" s="687"/>
      <c r="AT171" s="189"/>
      <c r="AU171" s="687"/>
      <c r="AV171" s="189"/>
      <c r="AW171" s="687"/>
      <c r="AX171" s="189"/>
      <c r="AY171" s="687"/>
      <c r="AZ171" s="740"/>
      <c r="BA171" s="740"/>
      <c r="BB171" s="740"/>
      <c r="BC171" s="740"/>
      <c r="BD171" s="740"/>
      <c r="BE171" s="740"/>
      <c r="BF171" s="740"/>
      <c r="BG171" s="740"/>
      <c r="BH171" s="740"/>
      <c r="BI171" s="740"/>
      <c r="BJ171" s="740"/>
      <c r="BK171" s="740"/>
      <c r="BL171" s="740"/>
      <c r="BM171" s="740"/>
      <c r="BN171" s="740"/>
      <c r="BO171" s="740"/>
      <c r="BP171" s="740"/>
      <c r="BQ171" s="740"/>
      <c r="BR171" s="740"/>
      <c r="BS171" s="740"/>
      <c r="BT171" s="740"/>
      <c r="BU171" s="740"/>
      <c r="BV171" s="740"/>
      <c r="BW171" s="740"/>
      <c r="BX171" s="740"/>
      <c r="BY171" s="740"/>
      <c r="BZ171" s="740"/>
      <c r="CA171" s="740"/>
      <c r="CB171" s="740"/>
      <c r="CC171" s="740"/>
      <c r="CD171" s="740"/>
      <c r="CE171" s="740"/>
      <c r="CF171" s="740"/>
      <c r="CG171" s="740"/>
      <c r="CH171" s="740"/>
      <c r="CI171" s="740"/>
      <c r="CJ171" s="740"/>
      <c r="CK171" s="740"/>
      <c r="CL171" s="740"/>
      <c r="CM171" s="740"/>
      <c r="CN171" s="740"/>
      <c r="CO171" s="740"/>
      <c r="CP171" s="740"/>
      <c r="CQ171" s="740"/>
      <c r="CR171" s="740"/>
      <c r="CS171" s="740"/>
      <c r="CT171" s="740"/>
      <c r="CU171" s="740"/>
      <c r="CV171" s="740"/>
      <c r="CW171" s="740"/>
      <c r="CX171" s="740"/>
      <c r="CY171" s="740"/>
      <c r="CZ171" s="740"/>
      <c r="DA171" s="740"/>
      <c r="DB171" s="740"/>
      <c r="DC171" s="740"/>
      <c r="DD171" s="740"/>
      <c r="DE171" s="740"/>
      <c r="DF171" s="740"/>
      <c r="DG171" s="740"/>
      <c r="DH171" s="740"/>
      <c r="DI171" s="740"/>
      <c r="DJ171" s="740"/>
      <c r="DK171" s="740"/>
      <c r="DL171" s="740"/>
      <c r="DM171" s="740"/>
      <c r="DN171" s="740"/>
      <c r="DO171" s="740"/>
      <c r="DP171" s="740"/>
      <c r="DQ171" s="740"/>
      <c r="DR171" s="740"/>
      <c r="DS171" s="740"/>
      <c r="DT171" s="740"/>
      <c r="DU171" s="740"/>
      <c r="DV171" s="740"/>
      <c r="DW171" s="740"/>
      <c r="DX171" s="740"/>
      <c r="DY171" s="740"/>
      <c r="DZ171" s="740"/>
      <c r="EA171" s="740"/>
      <c r="EB171" s="740"/>
      <c r="EC171" s="740"/>
      <c r="ED171" s="740"/>
      <c r="EE171" s="740"/>
      <c r="EF171" s="740"/>
      <c r="EG171" s="740"/>
      <c r="EH171" s="740"/>
      <c r="EI171" s="740"/>
      <c r="EJ171" s="740"/>
      <c r="EK171" s="740"/>
      <c r="EL171" s="740"/>
      <c r="EM171" s="740"/>
      <c r="EN171" s="740"/>
      <c r="EO171" s="740"/>
      <c r="EP171" s="740"/>
      <c r="EQ171" s="740"/>
      <c r="ER171" s="740"/>
      <c r="ES171" s="740"/>
      <c r="ET171" s="740"/>
      <c r="EU171" s="740"/>
      <c r="EV171" s="740"/>
      <c r="EW171" s="740"/>
      <c r="EX171" s="740"/>
      <c r="EY171" s="740"/>
      <c r="EZ171" s="740"/>
      <c r="FA171" s="740"/>
      <c r="FB171" s="740"/>
      <c r="FC171" s="740"/>
      <c r="FD171" s="740"/>
      <c r="FE171" s="740"/>
      <c r="FF171" s="740"/>
      <c r="FG171" s="740"/>
      <c r="FH171" s="740"/>
      <c r="FI171" s="740"/>
      <c r="FJ171" s="740"/>
      <c r="FK171" s="740"/>
      <c r="FL171" s="740"/>
      <c r="FM171" s="740"/>
      <c r="FN171" s="740"/>
      <c r="FO171" s="740"/>
      <c r="FP171" s="740"/>
      <c r="FQ171" s="740"/>
      <c r="FR171" s="740"/>
      <c r="FS171" s="740"/>
      <c r="FT171" s="740"/>
      <c r="FU171" s="740"/>
      <c r="FV171" s="740"/>
      <c r="FW171" s="740"/>
      <c r="FX171" s="740"/>
      <c r="FY171" s="740"/>
      <c r="FZ171" s="740"/>
      <c r="GA171" s="740"/>
      <c r="GB171" s="740"/>
      <c r="GC171" s="740"/>
      <c r="GD171" s="740"/>
      <c r="GE171" s="740"/>
      <c r="GF171" s="740"/>
      <c r="GG171" s="740"/>
      <c r="GH171" s="740"/>
      <c r="GI171" s="740"/>
      <c r="GJ171" s="740"/>
      <c r="GK171" s="740"/>
      <c r="GL171" s="740"/>
      <c r="GM171" s="740"/>
      <c r="GN171" s="740"/>
      <c r="GO171" s="740"/>
      <c r="GP171" s="740"/>
      <c r="GQ171" s="740"/>
      <c r="GR171" s="740"/>
      <c r="GS171" s="740"/>
      <c r="GT171" s="740"/>
      <c r="GU171" s="740"/>
      <c r="GV171" s="740"/>
      <c r="GW171" s="740"/>
    </row>
    <row r="172" spans="1:205" ht="24" customHeight="1" x14ac:dyDescent="0.2">
      <c r="A172" s="2503"/>
      <c r="D172"/>
      <c r="E172" s="37"/>
      <c r="F172" s="111" t="s">
        <v>121</v>
      </c>
      <c r="G172" s="28"/>
      <c r="H172" s="28"/>
      <c r="I172" s="28"/>
      <c r="J172" s="28"/>
      <c r="K172" s="1748" t="s">
        <v>961</v>
      </c>
      <c r="L172" s="2555">
        <f>AD49</f>
        <v>40</v>
      </c>
      <c r="M172" s="300"/>
      <c r="N172" s="37">
        <f>AF49</f>
        <v>30</v>
      </c>
      <c r="O172" s="300"/>
      <c r="P172" s="28">
        <f>AH49</f>
        <v>20</v>
      </c>
      <c r="Q172" s="300"/>
      <c r="R172"/>
      <c r="S172"/>
      <c r="T172" s="740"/>
      <c r="U172" s="740"/>
      <c r="V172" s="740"/>
      <c r="W172" s="740"/>
      <c r="X172" s="740"/>
      <c r="Y172" s="740"/>
      <c r="Z172" s="740"/>
      <c r="AA172" s="739"/>
      <c r="AB172" s="189"/>
      <c r="AI172" s="189"/>
      <c r="AJ172" s="468" t="s">
        <v>477</v>
      </c>
      <c r="AK172" s="189"/>
      <c r="AL172" s="189"/>
      <c r="AM172" s="189"/>
      <c r="AN172" s="291"/>
      <c r="AO172" s="801">
        <v>4.3E-3</v>
      </c>
      <c r="AP172" s="189"/>
      <c r="AQ172" s="291"/>
      <c r="AR172" s="189"/>
      <c r="AS172" s="687"/>
      <c r="AT172" s="189"/>
      <c r="AU172" s="687"/>
      <c r="AV172" s="189"/>
      <c r="AW172" s="687"/>
      <c r="AX172" s="189"/>
      <c r="AY172" s="687"/>
      <c r="AZ172" s="740"/>
      <c r="BA172" s="740"/>
      <c r="BB172" s="740"/>
      <c r="BC172" s="740"/>
      <c r="BD172" s="740"/>
      <c r="BE172" s="740"/>
      <c r="BF172" s="740"/>
      <c r="BG172" s="740"/>
      <c r="BH172" s="740"/>
      <c r="BI172" s="740"/>
      <c r="BJ172" s="740"/>
      <c r="BK172" s="740"/>
      <c r="BL172" s="740"/>
      <c r="BM172" s="740"/>
      <c r="BN172" s="740"/>
      <c r="BO172" s="740"/>
      <c r="BP172" s="740"/>
      <c r="BQ172" s="740"/>
      <c r="BR172" s="740"/>
      <c r="BS172" s="740"/>
      <c r="BT172" s="740"/>
      <c r="BU172" s="740"/>
      <c r="BV172" s="740"/>
      <c r="BW172" s="740"/>
      <c r="BX172" s="740"/>
      <c r="BY172" s="740"/>
      <c r="BZ172" s="740"/>
      <c r="CA172" s="740"/>
      <c r="CB172" s="740"/>
      <c r="CC172" s="740"/>
      <c r="CD172" s="740"/>
      <c r="CE172" s="740"/>
      <c r="CF172" s="740"/>
      <c r="CG172" s="740"/>
      <c r="CH172" s="740"/>
      <c r="CI172" s="740"/>
      <c r="CJ172" s="740"/>
      <c r="CK172" s="740"/>
      <c r="CL172" s="740"/>
      <c r="CM172" s="740"/>
      <c r="CN172" s="740"/>
      <c r="CO172" s="740"/>
      <c r="CP172" s="740"/>
      <c r="CQ172" s="740"/>
      <c r="CR172" s="740"/>
      <c r="CS172" s="740"/>
      <c r="CT172" s="740"/>
      <c r="CU172" s="740"/>
      <c r="CV172" s="740"/>
      <c r="CW172" s="740"/>
      <c r="CX172" s="740"/>
      <c r="CY172" s="740"/>
      <c r="CZ172" s="740"/>
      <c r="DA172" s="740"/>
      <c r="DB172" s="740"/>
      <c r="DC172" s="740"/>
      <c r="DD172" s="740"/>
      <c r="DE172" s="740"/>
      <c r="DF172" s="740"/>
      <c r="DG172" s="740"/>
      <c r="DH172" s="740"/>
      <c r="DI172" s="740"/>
      <c r="DJ172" s="740"/>
      <c r="DK172" s="740"/>
      <c r="DL172" s="740"/>
      <c r="DM172" s="740"/>
      <c r="DN172" s="740"/>
      <c r="DO172" s="740"/>
      <c r="DP172" s="740"/>
      <c r="DQ172" s="740"/>
      <c r="DR172" s="740"/>
      <c r="DS172" s="740"/>
      <c r="DT172" s="740"/>
      <c r="DU172" s="740"/>
      <c r="DV172" s="740"/>
      <c r="DW172" s="740"/>
      <c r="DX172" s="740"/>
      <c r="DY172" s="740"/>
      <c r="DZ172" s="740"/>
      <c r="EA172" s="740"/>
      <c r="EB172" s="740"/>
      <c r="EC172" s="740"/>
      <c r="ED172" s="740"/>
      <c r="EE172" s="740"/>
      <c r="EF172" s="740"/>
      <c r="EG172" s="740"/>
      <c r="EH172" s="740"/>
      <c r="EI172" s="740"/>
      <c r="EJ172" s="740"/>
      <c r="EK172" s="740"/>
      <c r="EL172" s="740"/>
      <c r="EM172" s="740"/>
      <c r="EN172" s="740"/>
      <c r="EO172" s="740"/>
      <c r="EP172" s="740"/>
      <c r="EQ172" s="740"/>
      <c r="ER172" s="740"/>
      <c r="ES172" s="740"/>
      <c r="ET172" s="740"/>
      <c r="EU172" s="740"/>
      <c r="EV172" s="740"/>
      <c r="EW172" s="740"/>
      <c r="EX172" s="740"/>
      <c r="EY172" s="740"/>
      <c r="EZ172" s="740"/>
      <c r="FA172" s="740"/>
      <c r="FB172" s="740"/>
      <c r="FC172" s="740"/>
      <c r="FD172" s="740"/>
      <c r="FE172" s="740"/>
      <c r="FF172" s="740"/>
      <c r="FG172" s="740"/>
      <c r="FH172" s="740"/>
      <c r="FI172" s="740"/>
      <c r="FJ172" s="740"/>
      <c r="FK172" s="740"/>
      <c r="FL172" s="740"/>
      <c r="FM172" s="740"/>
      <c r="FN172" s="740"/>
      <c r="FO172" s="740"/>
      <c r="FP172" s="740"/>
      <c r="FQ172" s="740"/>
      <c r="FR172" s="740"/>
      <c r="FS172" s="740"/>
      <c r="FT172" s="740"/>
      <c r="FU172" s="740"/>
      <c r="FV172" s="740"/>
      <c r="FW172" s="740"/>
      <c r="FX172" s="740"/>
      <c r="FY172" s="740"/>
      <c r="FZ172" s="740"/>
      <c r="GA172" s="740"/>
      <c r="GB172" s="740"/>
      <c r="GC172" s="740"/>
      <c r="GD172" s="740"/>
      <c r="GE172" s="740"/>
      <c r="GF172" s="740"/>
      <c r="GG172" s="740"/>
      <c r="GH172" s="740"/>
      <c r="GI172" s="740"/>
      <c r="GJ172" s="740"/>
      <c r="GK172" s="740"/>
      <c r="GL172" s="740"/>
      <c r="GM172" s="740"/>
      <c r="GN172" s="740"/>
      <c r="GO172" s="740"/>
      <c r="GP172" s="740"/>
      <c r="GQ172" s="740"/>
      <c r="GR172" s="740"/>
      <c r="GS172" s="740"/>
      <c r="GT172" s="740"/>
      <c r="GU172" s="740"/>
      <c r="GV172" s="740"/>
      <c r="GW172" s="740"/>
    </row>
    <row r="173" spans="1:205" ht="24" customHeight="1" x14ac:dyDescent="0.2">
      <c r="A173" s="2503"/>
      <c r="D173"/>
      <c r="E173" s="37"/>
      <c r="F173" s="111"/>
      <c r="G173" s="2583" t="s">
        <v>122</v>
      </c>
      <c r="H173" s="2583"/>
      <c r="I173" s="2583"/>
      <c r="J173" s="2583"/>
      <c r="K173" s="2580" t="s">
        <v>737</v>
      </c>
      <c r="L173" s="2584">
        <f>L171-L171*L172/100</f>
        <v>3200</v>
      </c>
      <c r="M173" s="2585" t="s">
        <v>857</v>
      </c>
      <c r="N173" s="2584">
        <f>N171-N171*N172/100</f>
        <v>3150</v>
      </c>
      <c r="O173" s="2585" t="s">
        <v>857</v>
      </c>
      <c r="P173" s="2584">
        <f>P171-P171*P172/100</f>
        <v>3200</v>
      </c>
      <c r="Q173" s="2585" t="s">
        <v>857</v>
      </c>
      <c r="R173"/>
      <c r="S173"/>
      <c r="T173" s="740"/>
      <c r="U173" s="740"/>
      <c r="V173" s="740"/>
      <c r="W173" s="740"/>
      <c r="X173" s="740"/>
      <c r="Y173" s="740"/>
      <c r="Z173" s="740"/>
      <c r="AA173" s="739"/>
      <c r="AB173" s="189"/>
      <c r="AC173" s="189"/>
      <c r="AD173" s="189"/>
      <c r="AE173" s="189"/>
      <c r="AF173" s="189"/>
      <c r="AG173" s="189"/>
      <c r="AH173" s="291"/>
      <c r="AI173" s="189"/>
      <c r="AJ173" s="468" t="s">
        <v>478</v>
      </c>
      <c r="AK173" s="189"/>
      <c r="AL173" s="189"/>
      <c r="AM173" s="189"/>
      <c r="AN173" s="291"/>
      <c r="AO173" s="801">
        <v>8.3000000000000001E-3</v>
      </c>
      <c r="AP173" s="189"/>
      <c r="AQ173" s="291"/>
      <c r="AR173" s="189"/>
      <c r="AS173" s="687"/>
      <c r="AT173" s="189"/>
      <c r="AU173" s="687"/>
      <c r="AV173" s="189"/>
      <c r="AW173" s="687"/>
      <c r="AX173" s="189"/>
      <c r="AY173" s="687"/>
      <c r="AZ173" s="740"/>
      <c r="BA173" s="740"/>
      <c r="BB173" s="740"/>
      <c r="BC173" s="740"/>
      <c r="BD173" s="740"/>
      <c r="BE173" s="740"/>
      <c r="BF173" s="740"/>
      <c r="BG173" s="740"/>
      <c r="BH173" s="740"/>
      <c r="BI173" s="740"/>
      <c r="BJ173" s="740"/>
      <c r="BK173" s="740"/>
      <c r="BL173" s="740"/>
      <c r="BM173" s="740"/>
      <c r="BN173" s="740"/>
      <c r="BO173" s="740"/>
      <c r="BP173" s="740"/>
      <c r="BQ173" s="740"/>
      <c r="BR173" s="740"/>
      <c r="BS173" s="740"/>
      <c r="BT173" s="740"/>
      <c r="BU173" s="740"/>
      <c r="BV173" s="740"/>
      <c r="BW173" s="740"/>
      <c r="BX173" s="740"/>
      <c r="BY173" s="740"/>
      <c r="BZ173" s="740"/>
      <c r="CA173" s="740"/>
      <c r="CB173" s="740"/>
      <c r="CC173" s="740"/>
      <c r="CD173" s="740"/>
      <c r="CE173" s="740"/>
      <c r="CF173" s="740"/>
      <c r="CG173" s="740"/>
      <c r="CH173" s="740"/>
      <c r="CI173" s="740"/>
      <c r="CJ173" s="740"/>
      <c r="CK173" s="740"/>
      <c r="CL173" s="740"/>
      <c r="CM173" s="740"/>
      <c r="CN173" s="740"/>
      <c r="CO173" s="740"/>
      <c r="CP173" s="740"/>
      <c r="CQ173" s="740"/>
      <c r="CR173" s="740"/>
      <c r="CS173" s="740"/>
      <c r="CT173" s="740"/>
      <c r="CU173" s="740"/>
      <c r="CV173" s="740"/>
      <c r="CW173" s="740"/>
      <c r="CX173" s="740"/>
      <c r="CY173" s="740"/>
      <c r="CZ173" s="740"/>
      <c r="DA173" s="740"/>
      <c r="DB173" s="740"/>
      <c r="DC173" s="740"/>
      <c r="DD173" s="740"/>
      <c r="DE173" s="740"/>
      <c r="DF173" s="740"/>
      <c r="DG173" s="740"/>
      <c r="DH173" s="740"/>
      <c r="DI173" s="740"/>
      <c r="DJ173" s="740"/>
      <c r="DK173" s="740"/>
      <c r="DL173" s="740"/>
      <c r="DM173" s="740"/>
      <c r="DN173" s="740"/>
      <c r="DO173" s="740"/>
      <c r="DP173" s="740"/>
      <c r="DQ173" s="740"/>
      <c r="DR173" s="740"/>
      <c r="DS173" s="740"/>
      <c r="DT173" s="740"/>
      <c r="DU173" s="740"/>
      <c r="DV173" s="740"/>
      <c r="DW173" s="740"/>
      <c r="DX173" s="740"/>
      <c r="DY173" s="740"/>
      <c r="DZ173" s="740"/>
      <c r="EA173" s="740"/>
      <c r="EB173" s="740"/>
      <c r="EC173" s="740"/>
      <c r="ED173" s="740"/>
      <c r="EE173" s="740"/>
      <c r="EF173" s="740"/>
      <c r="EG173" s="740"/>
      <c r="EH173" s="740"/>
      <c r="EI173" s="740"/>
      <c r="EJ173" s="740"/>
      <c r="EK173" s="740"/>
      <c r="EL173" s="740"/>
      <c r="EM173" s="740"/>
      <c r="EN173" s="740"/>
      <c r="EO173" s="740"/>
      <c r="EP173" s="740"/>
      <c r="EQ173" s="740"/>
      <c r="ER173" s="740"/>
      <c r="ES173" s="740"/>
      <c r="ET173" s="740"/>
      <c r="EU173" s="740"/>
      <c r="EV173" s="740"/>
      <c r="EW173" s="740"/>
      <c r="EX173" s="740"/>
      <c r="EY173" s="740"/>
      <c r="EZ173" s="740"/>
      <c r="FA173" s="740"/>
      <c r="FB173" s="740"/>
      <c r="FC173" s="740"/>
      <c r="FD173" s="740"/>
      <c r="FE173" s="740"/>
      <c r="FF173" s="740"/>
      <c r="FG173" s="740"/>
      <c r="FH173" s="740"/>
      <c r="FI173" s="740"/>
      <c r="FJ173" s="740"/>
      <c r="FK173" s="740"/>
      <c r="FL173" s="740"/>
      <c r="FM173" s="740"/>
      <c r="FN173" s="740"/>
      <c r="FO173" s="740"/>
      <c r="FP173" s="740"/>
      <c r="FQ173" s="740"/>
      <c r="FR173" s="740"/>
      <c r="FS173" s="740"/>
      <c r="FT173" s="740"/>
      <c r="FU173" s="740"/>
      <c r="FV173" s="740"/>
      <c r="FW173" s="740"/>
      <c r="FX173" s="740"/>
      <c r="FY173" s="740"/>
      <c r="FZ173" s="740"/>
      <c r="GA173" s="740"/>
      <c r="GB173" s="740"/>
      <c r="GC173" s="740"/>
      <c r="GD173" s="740"/>
      <c r="GE173" s="740"/>
      <c r="GF173" s="740"/>
      <c r="GG173" s="740"/>
      <c r="GH173" s="740"/>
      <c r="GI173" s="740"/>
      <c r="GJ173" s="740"/>
      <c r="GK173" s="740"/>
      <c r="GL173" s="740"/>
      <c r="GM173" s="740"/>
      <c r="GN173" s="740"/>
      <c r="GO173" s="740"/>
      <c r="GP173" s="740"/>
      <c r="GQ173" s="740"/>
      <c r="GR173" s="740"/>
      <c r="GS173" s="740"/>
      <c r="GT173" s="740"/>
      <c r="GU173" s="740"/>
      <c r="GV173" s="740"/>
      <c r="GW173" s="740"/>
    </row>
    <row r="174" spans="1:205" ht="24" customHeight="1" x14ac:dyDescent="0.2">
      <c r="A174" s="2503"/>
      <c r="E174" s="436"/>
      <c r="F174" s="259" t="s">
        <v>757</v>
      </c>
      <c r="G174" s="259"/>
      <c r="H174" s="259"/>
      <c r="I174" s="259"/>
      <c r="J174" s="259"/>
      <c r="K174" s="2204" t="s">
        <v>737</v>
      </c>
      <c r="L174" s="2213">
        <f>L171+L167</f>
        <v>5720.5333333333338</v>
      </c>
      <c r="M174" s="2196" t="s">
        <v>857</v>
      </c>
      <c r="N174" s="2213">
        <f>N171+N167</f>
        <v>5058.8</v>
      </c>
      <c r="O174" s="2196" t="s">
        <v>857</v>
      </c>
      <c r="P174" s="2214">
        <f>P171+P167</f>
        <v>4730.3999999999996</v>
      </c>
      <c r="Q174" s="2196" t="s">
        <v>857</v>
      </c>
      <c r="R174" s="740"/>
      <c r="S174" s="740"/>
      <c r="T174" s="740"/>
      <c r="U174" s="740"/>
      <c r="V174" s="740"/>
      <c r="W174" s="740"/>
      <c r="X174" s="740"/>
      <c r="Y174" s="740"/>
      <c r="Z174" s="740"/>
      <c r="AA174" s="740"/>
      <c r="AB174" s="740"/>
      <c r="AC174" s="740"/>
      <c r="AD174" s="740"/>
      <c r="AE174" s="740"/>
      <c r="AF174" s="740"/>
      <c r="AG174" s="740"/>
      <c r="AH174" s="740"/>
      <c r="AI174" s="189"/>
      <c r="AJ174" s="468" t="s">
        <v>479</v>
      </c>
      <c r="AK174" s="189"/>
      <c r="AL174" s="189"/>
      <c r="AM174" s="189"/>
      <c r="AN174" s="291"/>
      <c r="AO174" s="801">
        <v>1.6400000000000001E-2</v>
      </c>
      <c r="AP174" s="189"/>
      <c r="AQ174" s="291"/>
      <c r="AR174" s="189"/>
      <c r="AS174" s="687"/>
      <c r="AT174" s="189"/>
      <c r="AU174" s="687"/>
      <c r="AV174" s="189"/>
      <c r="AW174" s="687"/>
      <c r="AX174" s="189"/>
      <c r="AY174" s="687"/>
      <c r="AZ174" s="740"/>
      <c r="BA174" s="740"/>
      <c r="BB174" s="740"/>
      <c r="BC174" s="740"/>
      <c r="BD174" s="740"/>
      <c r="BE174" s="740"/>
      <c r="BF174" s="740"/>
      <c r="BG174" s="740"/>
      <c r="BH174" s="740"/>
      <c r="BI174" s="740"/>
      <c r="BJ174" s="740"/>
      <c r="BK174" s="740"/>
      <c r="BL174" s="740"/>
      <c r="BM174" s="740"/>
      <c r="BN174" s="740"/>
      <c r="BO174" s="740"/>
      <c r="BP174" s="740"/>
      <c r="BQ174" s="740"/>
      <c r="BR174" s="740"/>
      <c r="BS174" s="740"/>
      <c r="BT174" s="740"/>
      <c r="BU174" s="740"/>
      <c r="BV174" s="740"/>
      <c r="BW174" s="740"/>
      <c r="BX174" s="740"/>
      <c r="BY174" s="740"/>
      <c r="BZ174" s="740"/>
      <c r="CA174" s="740"/>
      <c r="CB174" s="740"/>
      <c r="CC174" s="740"/>
      <c r="CD174" s="740"/>
      <c r="CE174" s="740"/>
      <c r="CF174" s="740"/>
      <c r="CG174" s="740"/>
      <c r="CH174" s="740"/>
      <c r="CI174" s="740"/>
      <c r="CJ174" s="740"/>
      <c r="CK174" s="740"/>
      <c r="CL174" s="740"/>
      <c r="CM174" s="740"/>
      <c r="CN174" s="740"/>
      <c r="CO174" s="740"/>
      <c r="CP174" s="740"/>
      <c r="CQ174" s="740"/>
      <c r="CR174" s="740"/>
      <c r="CS174" s="740"/>
      <c r="CT174" s="740"/>
      <c r="CU174" s="740"/>
      <c r="CV174" s="740"/>
      <c r="CW174" s="740"/>
      <c r="CX174" s="740"/>
      <c r="CY174" s="740"/>
      <c r="CZ174" s="740"/>
      <c r="DA174" s="740"/>
      <c r="DB174" s="740"/>
      <c r="DC174" s="740"/>
      <c r="DD174" s="740"/>
      <c r="DE174" s="740"/>
      <c r="DF174" s="740"/>
      <c r="DG174" s="740"/>
      <c r="DH174" s="740"/>
      <c r="DI174" s="740"/>
      <c r="DJ174" s="740"/>
      <c r="DK174" s="740"/>
      <c r="DL174" s="740"/>
      <c r="DM174" s="740"/>
      <c r="DN174" s="740"/>
      <c r="DO174" s="740"/>
      <c r="DP174" s="740"/>
      <c r="DQ174" s="740"/>
      <c r="DR174" s="740"/>
      <c r="DS174" s="740"/>
      <c r="DT174" s="740"/>
      <c r="DU174" s="740"/>
      <c r="DV174" s="740"/>
      <c r="DW174" s="740"/>
      <c r="DX174" s="740"/>
      <c r="DY174" s="740"/>
      <c r="DZ174" s="740"/>
      <c r="EA174" s="740"/>
      <c r="EB174" s="740"/>
      <c r="EC174" s="740"/>
      <c r="ED174" s="740"/>
      <c r="EE174" s="740"/>
      <c r="EF174" s="740"/>
      <c r="EG174" s="740"/>
      <c r="EH174" s="740"/>
      <c r="EI174" s="740"/>
      <c r="EJ174" s="740"/>
      <c r="EK174" s="740"/>
      <c r="EL174" s="740"/>
      <c r="EM174" s="740"/>
      <c r="EN174" s="740"/>
      <c r="EO174" s="740"/>
      <c r="EP174" s="740"/>
      <c r="EQ174" s="740"/>
      <c r="ER174" s="740"/>
      <c r="ES174" s="740"/>
      <c r="ET174" s="740"/>
      <c r="EU174" s="740"/>
      <c r="EV174" s="740"/>
      <c r="EW174" s="740"/>
      <c r="EX174" s="740"/>
      <c r="EY174" s="740"/>
      <c r="EZ174" s="740"/>
      <c r="FA174" s="740"/>
      <c r="FB174" s="740"/>
      <c r="FC174" s="740"/>
      <c r="FD174" s="740"/>
      <c r="FE174" s="740"/>
      <c r="FF174" s="740"/>
      <c r="FG174" s="740"/>
      <c r="FH174" s="740"/>
      <c r="FI174" s="740"/>
      <c r="FJ174" s="740"/>
      <c r="FK174" s="740"/>
      <c r="FL174" s="740"/>
      <c r="FM174" s="740"/>
      <c r="FN174" s="740"/>
      <c r="FO174" s="740"/>
      <c r="FP174" s="740"/>
      <c r="FQ174" s="740"/>
      <c r="FR174" s="740"/>
      <c r="FS174" s="740"/>
      <c r="FT174" s="740"/>
      <c r="FU174" s="740"/>
      <c r="FV174" s="740"/>
      <c r="FW174" s="740"/>
      <c r="FX174" s="740"/>
      <c r="FY174" s="740"/>
      <c r="FZ174" s="740"/>
      <c r="GA174" s="740"/>
      <c r="GB174" s="740"/>
      <c r="GC174" s="740"/>
      <c r="GD174" s="740"/>
      <c r="GE174" s="740"/>
      <c r="GF174" s="740"/>
      <c r="GG174" s="740"/>
      <c r="GH174" s="740"/>
      <c r="GI174" s="740"/>
      <c r="GJ174" s="740"/>
      <c r="GK174" s="740"/>
      <c r="GL174" s="740"/>
      <c r="GM174" s="740"/>
      <c r="GN174" s="740"/>
      <c r="GO174" s="740"/>
      <c r="GP174" s="740"/>
      <c r="GQ174" s="740"/>
      <c r="GR174" s="740"/>
      <c r="GS174" s="740"/>
      <c r="GT174" s="740"/>
      <c r="GU174" s="740"/>
      <c r="GV174" s="740"/>
      <c r="GW174" s="740"/>
    </row>
    <row r="175" spans="1:205" ht="24" customHeight="1" x14ac:dyDescent="0.2">
      <c r="A175" s="2503"/>
      <c r="E175" s="2218"/>
      <c r="F175" s="523"/>
      <c r="G175" s="523"/>
      <c r="H175" s="523"/>
      <c r="I175" s="523"/>
      <c r="J175" s="523"/>
      <c r="K175" s="2564" t="s">
        <v>737</v>
      </c>
      <c r="L175" s="2221">
        <f>L174/AI8</f>
        <v>5.8772602739726025</v>
      </c>
      <c r="M175" s="2216" t="s">
        <v>857</v>
      </c>
      <c r="N175" s="2221">
        <f>N174/AK8</f>
        <v>5.7350590458195558</v>
      </c>
      <c r="O175" s="2216" t="s">
        <v>857</v>
      </c>
      <c r="P175" s="2222">
        <f>P174/AM8</f>
        <v>5.9815384615384604</v>
      </c>
      <c r="Q175" s="2216" t="s">
        <v>857</v>
      </c>
      <c r="R175" s="740"/>
      <c r="S175" s="740"/>
      <c r="T175" s="740"/>
      <c r="U175" s="740"/>
      <c r="V175" s="740"/>
      <c r="W175" s="740"/>
      <c r="X175" s="740"/>
      <c r="Y175" s="740"/>
      <c r="Z175" s="740"/>
      <c r="AA175" s="740"/>
      <c r="AB175" s="740"/>
      <c r="AC175" s="740"/>
      <c r="AD175" s="740"/>
      <c r="AE175" s="740"/>
      <c r="AF175" s="740"/>
      <c r="AG175" s="740"/>
      <c r="AH175" s="740"/>
      <c r="AI175" s="189"/>
      <c r="AJ175" s="468" t="s">
        <v>480</v>
      </c>
      <c r="AK175" s="189"/>
      <c r="AL175" s="189"/>
      <c r="AM175" s="189"/>
      <c r="AN175" s="291"/>
      <c r="AO175" s="801">
        <v>2.2000000000000001E-3</v>
      </c>
      <c r="AP175" s="189"/>
      <c r="AQ175" s="291"/>
      <c r="AR175" s="189"/>
      <c r="AS175" s="687"/>
      <c r="AT175" s="189"/>
      <c r="AU175" s="687"/>
      <c r="AV175" s="189"/>
      <c r="AW175" s="687"/>
      <c r="AX175" s="189"/>
      <c r="AY175" s="687"/>
      <c r="AZ175" s="740"/>
      <c r="BA175" s="740"/>
      <c r="BB175" s="740"/>
      <c r="BC175" s="740"/>
      <c r="BD175" s="740"/>
      <c r="BE175" s="740"/>
      <c r="BF175" s="740"/>
      <c r="BG175" s="740"/>
      <c r="BH175" s="740"/>
      <c r="BI175" s="740"/>
      <c r="BJ175" s="740"/>
      <c r="BK175" s="740"/>
      <c r="BL175" s="740"/>
      <c r="BM175" s="740"/>
      <c r="BN175" s="740"/>
      <c r="BO175" s="740"/>
      <c r="BP175" s="740"/>
      <c r="BQ175" s="740"/>
      <c r="BR175" s="740"/>
      <c r="BS175" s="740"/>
      <c r="BT175" s="740"/>
      <c r="BU175" s="740"/>
      <c r="BV175" s="740"/>
      <c r="BW175" s="740"/>
      <c r="BX175" s="740"/>
      <c r="BY175" s="740"/>
      <c r="BZ175" s="740"/>
      <c r="CA175" s="740"/>
      <c r="CB175" s="740"/>
      <c r="CC175" s="740"/>
      <c r="CD175" s="740"/>
      <c r="CE175" s="740"/>
      <c r="CF175" s="740"/>
      <c r="CG175" s="740"/>
      <c r="CH175" s="740"/>
      <c r="CI175" s="740"/>
      <c r="CJ175" s="740"/>
      <c r="CK175" s="740"/>
      <c r="CL175" s="740"/>
      <c r="CM175" s="740"/>
      <c r="CN175" s="740"/>
      <c r="CO175" s="740"/>
      <c r="CP175" s="740"/>
      <c r="CQ175" s="740"/>
      <c r="CR175" s="740"/>
      <c r="CS175" s="740"/>
      <c r="CT175" s="740"/>
      <c r="CU175" s="740"/>
      <c r="CV175" s="740"/>
      <c r="CW175" s="740"/>
      <c r="CX175" s="740"/>
      <c r="CY175" s="740"/>
      <c r="CZ175" s="740"/>
      <c r="DA175" s="740"/>
      <c r="DB175" s="740"/>
      <c r="DC175" s="740"/>
      <c r="DD175" s="740"/>
      <c r="DE175" s="740"/>
      <c r="DF175" s="740"/>
      <c r="DG175" s="740"/>
      <c r="DH175" s="740"/>
      <c r="DI175" s="740"/>
      <c r="DJ175" s="740"/>
      <c r="DK175" s="740"/>
      <c r="DL175" s="740"/>
      <c r="DM175" s="740"/>
      <c r="DN175" s="740"/>
      <c r="DO175" s="740"/>
      <c r="DP175" s="740"/>
      <c r="DQ175" s="740"/>
      <c r="DR175" s="740"/>
      <c r="DS175" s="740"/>
      <c r="DT175" s="740"/>
      <c r="DU175" s="740"/>
      <c r="DV175" s="740"/>
      <c r="DW175" s="740"/>
      <c r="DX175" s="740"/>
      <c r="DY175" s="740"/>
      <c r="DZ175" s="740"/>
      <c r="EA175" s="740"/>
      <c r="EB175" s="740"/>
      <c r="EC175" s="740"/>
      <c r="ED175" s="740"/>
      <c r="EE175" s="740"/>
      <c r="EF175" s="740"/>
      <c r="EG175" s="740"/>
      <c r="EH175" s="740"/>
      <c r="EI175" s="740"/>
      <c r="EJ175" s="740"/>
      <c r="EK175" s="740"/>
      <c r="EL175" s="740"/>
      <c r="EM175" s="740"/>
      <c r="EN175" s="740"/>
      <c r="EO175" s="740"/>
      <c r="EP175" s="740"/>
      <c r="EQ175" s="740"/>
      <c r="ER175" s="740"/>
      <c r="ES175" s="740"/>
      <c r="ET175" s="740"/>
      <c r="EU175" s="740"/>
      <c r="EV175" s="740"/>
      <c r="EW175" s="740"/>
      <c r="EX175" s="740"/>
      <c r="EY175" s="740"/>
      <c r="EZ175" s="740"/>
      <c r="FA175" s="740"/>
      <c r="FB175" s="740"/>
      <c r="FC175" s="740"/>
      <c r="FD175" s="740"/>
      <c r="FE175" s="740"/>
      <c r="FF175" s="740"/>
      <c r="FG175" s="740"/>
      <c r="FH175" s="740"/>
      <c r="FI175" s="740"/>
      <c r="FJ175" s="740"/>
      <c r="FK175" s="740"/>
      <c r="FL175" s="740"/>
      <c r="FM175" s="740"/>
      <c r="FN175" s="740"/>
      <c r="FO175" s="740"/>
      <c r="FP175" s="740"/>
      <c r="FQ175" s="740"/>
      <c r="FR175" s="740"/>
      <c r="FS175" s="740"/>
      <c r="FT175" s="740"/>
      <c r="FU175" s="740"/>
      <c r="FV175" s="740"/>
      <c r="FW175" s="740"/>
      <c r="FX175" s="740"/>
      <c r="FY175" s="740"/>
      <c r="FZ175" s="740"/>
      <c r="GA175" s="740"/>
      <c r="GB175" s="740"/>
      <c r="GC175" s="740"/>
      <c r="GD175" s="740"/>
      <c r="GE175" s="740"/>
      <c r="GF175" s="740"/>
      <c r="GG175" s="740"/>
      <c r="GH175" s="740"/>
      <c r="GI175" s="740"/>
      <c r="GJ175" s="740"/>
      <c r="GK175" s="740"/>
      <c r="GL175" s="740"/>
      <c r="GM175" s="740"/>
      <c r="GN175" s="740"/>
      <c r="GO175" s="740"/>
      <c r="GP175" s="740"/>
      <c r="GQ175" s="740"/>
      <c r="GR175" s="740"/>
      <c r="GS175" s="740"/>
      <c r="GT175" s="740"/>
      <c r="GU175" s="740"/>
      <c r="GV175" s="740"/>
      <c r="GW175" s="740"/>
    </row>
    <row r="176" spans="1:205" ht="24" customHeight="1" x14ac:dyDescent="0.2">
      <c r="A176" s="2503"/>
      <c r="E176" s="385" t="s">
        <v>467</v>
      </c>
      <c r="F176" s="611"/>
      <c r="G176" s="611"/>
      <c r="H176" s="2225">
        <f>$H$28</f>
        <v>4</v>
      </c>
      <c r="I176" s="2626" t="s">
        <v>468</v>
      </c>
      <c r="J176" s="611"/>
      <c r="K176" s="1601" t="s">
        <v>469</v>
      </c>
      <c r="L176" s="2209">
        <f>L174*$H$176/1000</f>
        <v>22.882133333333336</v>
      </c>
      <c r="M176" s="612"/>
      <c r="N176" s="2209">
        <f>N174*$H$176/1000</f>
        <v>20.235199999999999</v>
      </c>
      <c r="O176" s="612"/>
      <c r="P176" s="1324">
        <f>P174*$H$176/1000</f>
        <v>18.921599999999998</v>
      </c>
      <c r="Q176" s="612"/>
      <c r="R176" s="740"/>
      <c r="S176" s="740"/>
      <c r="T176" s="740"/>
      <c r="U176" s="740"/>
      <c r="V176" s="740"/>
      <c r="W176" s="740"/>
      <c r="X176" s="740"/>
      <c r="Y176" s="740"/>
      <c r="Z176" s="740"/>
      <c r="AA176" s="740"/>
      <c r="AB176" s="740"/>
      <c r="AC176" s="740"/>
      <c r="AD176" s="740"/>
      <c r="AE176" s="740"/>
      <c r="AF176" s="740"/>
      <c r="AG176" s="740"/>
      <c r="AH176" s="740"/>
      <c r="AI176" s="189"/>
      <c r="AJ176" s="468" t="s">
        <v>957</v>
      </c>
      <c r="AK176" s="189"/>
      <c r="AL176" s="189"/>
      <c r="AM176" s="189"/>
      <c r="AN176" s="291"/>
      <c r="AO176" s="801"/>
      <c r="AP176" s="189"/>
      <c r="AQ176" s="291"/>
      <c r="AR176" s="189"/>
      <c r="AS176" s="687"/>
      <c r="AT176" s="189"/>
      <c r="AU176" s="687"/>
      <c r="AV176" s="189"/>
      <c r="AW176" s="687"/>
      <c r="AX176" s="189"/>
      <c r="AY176" s="687"/>
      <c r="AZ176" s="740"/>
      <c r="BA176" s="740"/>
      <c r="BB176" s="740"/>
      <c r="BC176" s="740"/>
      <c r="BD176" s="740"/>
      <c r="BE176" s="740"/>
      <c r="BF176" s="740"/>
      <c r="BG176" s="740"/>
      <c r="BH176" s="740"/>
      <c r="BI176" s="740"/>
      <c r="BJ176" s="740"/>
      <c r="BK176" s="740"/>
      <c r="BL176" s="740"/>
      <c r="BM176" s="740"/>
      <c r="BN176" s="740"/>
      <c r="BO176" s="740"/>
      <c r="BP176" s="740"/>
      <c r="BQ176" s="740"/>
      <c r="BR176" s="740"/>
      <c r="BS176" s="740"/>
      <c r="BT176" s="740"/>
      <c r="BU176" s="740"/>
      <c r="BV176" s="740"/>
      <c r="BW176" s="740"/>
      <c r="BX176" s="740"/>
      <c r="BY176" s="740"/>
      <c r="BZ176" s="740"/>
      <c r="CA176" s="740"/>
      <c r="CB176" s="740"/>
      <c r="CC176" s="740"/>
      <c r="CD176" s="740"/>
      <c r="CE176" s="740"/>
      <c r="CF176" s="740"/>
      <c r="CG176" s="740"/>
      <c r="CH176" s="740"/>
      <c r="CI176" s="740"/>
      <c r="CJ176" s="740"/>
      <c r="CK176" s="740"/>
      <c r="CL176" s="740"/>
      <c r="CM176" s="740"/>
      <c r="CN176" s="740"/>
      <c r="CO176" s="740"/>
      <c r="CP176" s="740"/>
      <c r="CQ176" s="740"/>
      <c r="CR176" s="740"/>
      <c r="CS176" s="740"/>
      <c r="CT176" s="740"/>
      <c r="CU176" s="740"/>
      <c r="CV176" s="740"/>
      <c r="CW176" s="740"/>
      <c r="CX176" s="740"/>
      <c r="CY176" s="740"/>
      <c r="CZ176" s="740"/>
      <c r="DA176" s="740"/>
      <c r="DB176" s="740"/>
      <c r="DC176" s="740"/>
      <c r="DD176" s="740"/>
      <c r="DE176" s="740"/>
      <c r="DF176" s="740"/>
      <c r="DG176" s="740"/>
      <c r="DH176" s="740"/>
      <c r="DI176" s="740"/>
      <c r="DJ176" s="740"/>
      <c r="DK176" s="740"/>
      <c r="DL176" s="740"/>
      <c r="DM176" s="740"/>
      <c r="DN176" s="740"/>
      <c r="DO176" s="740"/>
      <c r="DP176" s="740"/>
      <c r="DQ176" s="740"/>
      <c r="DR176" s="740"/>
      <c r="DS176" s="740"/>
      <c r="DT176" s="740"/>
      <c r="DU176" s="740"/>
      <c r="DV176" s="740"/>
      <c r="DW176" s="740"/>
      <c r="DX176" s="740"/>
      <c r="DY176" s="740"/>
      <c r="DZ176" s="740"/>
      <c r="EA176" s="740"/>
      <c r="EB176" s="740"/>
      <c r="EC176" s="740"/>
      <c r="ED176" s="740"/>
      <c r="EE176" s="740"/>
      <c r="EF176" s="740"/>
      <c r="EG176" s="740"/>
      <c r="EH176" s="740"/>
      <c r="EI176" s="740"/>
      <c r="EJ176" s="740"/>
      <c r="EK176" s="740"/>
      <c r="EL176" s="740"/>
      <c r="EM176" s="740"/>
      <c r="EN176" s="740"/>
      <c r="EO176" s="740"/>
      <c r="EP176" s="740"/>
      <c r="EQ176" s="740"/>
      <c r="ER176" s="740"/>
      <c r="ES176" s="740"/>
      <c r="ET176" s="740"/>
      <c r="EU176" s="740"/>
      <c r="EV176" s="740"/>
      <c r="EW176" s="740"/>
      <c r="EX176" s="740"/>
      <c r="EY176" s="740"/>
      <c r="EZ176" s="740"/>
      <c r="FA176" s="740"/>
      <c r="FB176" s="740"/>
      <c r="FC176" s="740"/>
      <c r="FD176" s="740"/>
      <c r="FE176" s="740"/>
      <c r="FF176" s="740"/>
      <c r="FG176" s="740"/>
      <c r="FH176" s="740"/>
      <c r="FI176" s="740"/>
      <c r="FJ176" s="740"/>
      <c r="FK176" s="740"/>
      <c r="FL176" s="740"/>
      <c r="FM176" s="740"/>
      <c r="FN176" s="740"/>
      <c r="FO176" s="740"/>
      <c r="FP176" s="740"/>
      <c r="FQ176" s="740"/>
      <c r="FR176" s="740"/>
      <c r="FS176" s="740"/>
      <c r="FT176" s="740"/>
      <c r="FU176" s="740"/>
      <c r="FV176" s="740"/>
      <c r="FW176" s="740"/>
      <c r="FX176" s="740"/>
      <c r="FY176" s="740"/>
      <c r="FZ176" s="740"/>
      <c r="GA176" s="740"/>
      <c r="GB176" s="740"/>
      <c r="GC176" s="740"/>
      <c r="GD176" s="740"/>
      <c r="GE176" s="740"/>
      <c r="GF176" s="740"/>
      <c r="GG176" s="740"/>
      <c r="GH176" s="740"/>
      <c r="GI176" s="740"/>
      <c r="GJ176" s="740"/>
      <c r="GK176" s="740"/>
      <c r="GL176" s="740"/>
      <c r="GM176" s="740"/>
      <c r="GN176" s="740"/>
      <c r="GO176" s="740"/>
      <c r="GP176" s="740"/>
      <c r="GQ176" s="740"/>
      <c r="GR176" s="740"/>
      <c r="GS176" s="740"/>
      <c r="GT176" s="740"/>
      <c r="GU176" s="740"/>
      <c r="GV176" s="740"/>
      <c r="GW176" s="740"/>
    </row>
    <row r="177" spans="1:205" ht="24" customHeight="1" x14ac:dyDescent="0.2">
      <c r="A177" s="2503"/>
      <c r="E177" s="385" t="s">
        <v>112</v>
      </c>
      <c r="F177" s="611"/>
      <c r="G177" s="611"/>
      <c r="H177" s="611"/>
      <c r="I177" s="611"/>
      <c r="J177" s="611"/>
      <c r="K177" s="2556" t="s">
        <v>469</v>
      </c>
      <c r="L177" s="2209">
        <f>L16*(100-L172)/100</f>
        <v>15.6</v>
      </c>
      <c r="M177" s="612"/>
      <c r="N177" s="2209">
        <f>N16*(100-N172)/100</f>
        <v>16.8</v>
      </c>
      <c r="O177" s="612"/>
      <c r="P177" s="1324">
        <f>P16*(100-P172)/100</f>
        <v>17.600000000000001</v>
      </c>
      <c r="Q177" s="612"/>
      <c r="R177" s="740"/>
      <c r="S177" s="740"/>
      <c r="T177" s="740"/>
      <c r="U177" s="740"/>
      <c r="V177" s="740"/>
      <c r="W177" s="740"/>
      <c r="X177" s="740"/>
      <c r="Y177" s="740"/>
      <c r="Z177" s="740"/>
      <c r="AA177" s="740"/>
      <c r="AB177" s="740"/>
      <c r="AC177" s="740"/>
      <c r="AD177" s="740"/>
      <c r="AE177" s="740"/>
      <c r="AF177" s="740"/>
      <c r="AG177" s="740"/>
      <c r="AH177" s="740"/>
      <c r="AI177" s="811" t="s">
        <v>495</v>
      </c>
      <c r="AJ177" s="802" t="s">
        <v>481</v>
      </c>
      <c r="AK177" s="189"/>
      <c r="AL177" s="189"/>
      <c r="AM177" s="189"/>
      <c r="AN177" s="291"/>
      <c r="AO177" s="803">
        <v>1.2</v>
      </c>
      <c r="AP177" s="189"/>
      <c r="AQ177" s="291"/>
      <c r="AR177" s="189"/>
      <c r="AS177" s="687"/>
      <c r="AT177" s="189"/>
      <c r="AU177" s="687"/>
      <c r="AV177" s="189"/>
      <c r="AW177" s="687"/>
      <c r="AX177" s="189"/>
      <c r="AY177" s="687"/>
      <c r="AZ177" s="740"/>
      <c r="BA177" s="740"/>
      <c r="BB177" s="740"/>
      <c r="BC177" s="740"/>
      <c r="BD177" s="740"/>
      <c r="BE177" s="740"/>
      <c r="BF177" s="740"/>
      <c r="BG177" s="740"/>
      <c r="BH177" s="740"/>
      <c r="BI177" s="740"/>
      <c r="BJ177" s="740"/>
      <c r="BK177" s="740"/>
      <c r="BL177" s="740"/>
      <c r="BM177" s="740"/>
      <c r="BN177" s="740"/>
      <c r="BO177" s="740"/>
      <c r="BP177" s="740"/>
      <c r="BQ177" s="740"/>
      <c r="BR177" s="740"/>
      <c r="BS177" s="740"/>
      <c r="BT177" s="740"/>
      <c r="BU177" s="740"/>
      <c r="BV177" s="740"/>
      <c r="BW177" s="740"/>
      <c r="BX177" s="740"/>
      <c r="BY177" s="740"/>
      <c r="BZ177" s="740"/>
      <c r="CA177" s="740"/>
      <c r="CB177" s="740"/>
      <c r="CC177" s="740"/>
      <c r="CD177" s="740"/>
      <c r="CE177" s="740"/>
      <c r="CF177" s="740"/>
      <c r="CG177" s="740"/>
      <c r="CH177" s="740"/>
      <c r="CI177" s="740"/>
      <c r="CJ177" s="740"/>
      <c r="CK177" s="740"/>
      <c r="CL177" s="740"/>
      <c r="CM177" s="740"/>
      <c r="CN177" s="740"/>
      <c r="CO177" s="740"/>
      <c r="CP177" s="740"/>
      <c r="CQ177" s="740"/>
      <c r="CR177" s="740"/>
      <c r="CS177" s="740"/>
      <c r="CT177" s="740"/>
      <c r="CU177" s="740"/>
      <c r="CV177" s="740"/>
      <c r="CW177" s="740"/>
      <c r="CX177" s="740"/>
      <c r="CY177" s="740"/>
      <c r="CZ177" s="740"/>
      <c r="DA177" s="740"/>
      <c r="DB177" s="740"/>
      <c r="DC177" s="740"/>
      <c r="DD177" s="740"/>
      <c r="DE177" s="740"/>
      <c r="DF177" s="740"/>
      <c r="DG177" s="740"/>
      <c r="DH177" s="740"/>
      <c r="DI177" s="740"/>
      <c r="DJ177" s="740"/>
      <c r="DK177" s="740"/>
      <c r="DL177" s="740"/>
      <c r="DM177" s="740"/>
      <c r="DN177" s="740"/>
      <c r="DO177" s="740"/>
      <c r="DP177" s="740"/>
      <c r="DQ177" s="740"/>
      <c r="DR177" s="740"/>
      <c r="DS177" s="740"/>
      <c r="DT177" s="740"/>
      <c r="DU177" s="740"/>
      <c r="DV177" s="740"/>
      <c r="DW177" s="740"/>
      <c r="DX177" s="740"/>
      <c r="DY177" s="740"/>
      <c r="DZ177" s="740"/>
      <c r="EA177" s="740"/>
      <c r="EB177" s="740"/>
      <c r="EC177" s="740"/>
      <c r="ED177" s="740"/>
      <c r="EE177" s="740"/>
      <c r="EF177" s="740"/>
      <c r="EG177" s="740"/>
      <c r="EH177" s="740"/>
      <c r="EI177" s="740"/>
      <c r="EJ177" s="740"/>
      <c r="EK177" s="740"/>
      <c r="EL177" s="740"/>
      <c r="EM177" s="740"/>
      <c r="EN177" s="740"/>
      <c r="EO177" s="740"/>
      <c r="EP177" s="740"/>
      <c r="EQ177" s="740"/>
      <c r="ER177" s="740"/>
      <c r="ES177" s="740"/>
      <c r="ET177" s="740"/>
      <c r="EU177" s="740"/>
      <c r="EV177" s="740"/>
      <c r="EW177" s="740"/>
      <c r="EX177" s="740"/>
      <c r="EY177" s="740"/>
      <c r="EZ177" s="740"/>
      <c r="FA177" s="740"/>
      <c r="FB177" s="740"/>
      <c r="FC177" s="740"/>
      <c r="FD177" s="740"/>
      <c r="FE177" s="740"/>
      <c r="FF177" s="740"/>
      <c r="FG177" s="740"/>
      <c r="FH177" s="740"/>
      <c r="FI177" s="740"/>
      <c r="FJ177" s="740"/>
      <c r="FK177" s="740"/>
      <c r="FL177" s="740"/>
      <c r="FM177" s="740"/>
      <c r="FN177" s="740"/>
      <c r="FO177" s="740"/>
      <c r="FP177" s="740"/>
      <c r="FQ177" s="740"/>
      <c r="FR177" s="740"/>
      <c r="FS177" s="740"/>
      <c r="FT177" s="740"/>
      <c r="FU177" s="740"/>
      <c r="FV177" s="740"/>
      <c r="FW177" s="740"/>
      <c r="FX177" s="740"/>
      <c r="FY177" s="740"/>
      <c r="FZ177" s="740"/>
      <c r="GA177" s="740"/>
      <c r="GB177" s="740"/>
      <c r="GC177" s="740"/>
      <c r="GD177" s="740"/>
      <c r="GE177" s="740"/>
      <c r="GF177" s="740"/>
      <c r="GG177" s="740"/>
      <c r="GH177" s="740"/>
      <c r="GI177" s="740"/>
      <c r="GJ177" s="740"/>
      <c r="GK177" s="740"/>
      <c r="GL177" s="740"/>
      <c r="GM177" s="740"/>
      <c r="GN177" s="740"/>
      <c r="GO177" s="740"/>
      <c r="GP177" s="740"/>
      <c r="GQ177" s="740"/>
      <c r="GR177" s="740"/>
      <c r="GS177" s="740"/>
      <c r="GT177" s="740"/>
      <c r="GU177" s="740"/>
      <c r="GV177" s="740"/>
      <c r="GW177" s="740"/>
    </row>
    <row r="178" spans="1:205" ht="24" customHeight="1" x14ac:dyDescent="0.2">
      <c r="A178" s="2503"/>
      <c r="E178" s="2561" t="s">
        <v>123</v>
      </c>
      <c r="F178" s="611"/>
      <c r="G178" s="611"/>
      <c r="H178" s="611"/>
      <c r="I178" s="611"/>
      <c r="J178" s="611"/>
      <c r="K178" s="2556" t="s">
        <v>736</v>
      </c>
      <c r="L178" s="2209">
        <f>L171*(100-X49)/100</f>
        <v>3200.0000000000005</v>
      </c>
      <c r="M178" s="612"/>
      <c r="N178" s="2209">
        <f>N171*(100-Z49)/100</f>
        <v>3150</v>
      </c>
      <c r="O178" s="612"/>
      <c r="P178" s="1324">
        <f>P171*(100-AB49)/100</f>
        <v>3200</v>
      </c>
      <c r="Q178" s="612"/>
      <c r="R178" s="740"/>
      <c r="S178" s="740"/>
      <c r="T178" s="740"/>
      <c r="U178" s="740"/>
      <c r="V178" s="740"/>
      <c r="W178" s="740"/>
      <c r="X178" s="740"/>
      <c r="Y178" s="740"/>
      <c r="Z178" s="740"/>
      <c r="AA178" s="740"/>
      <c r="AB178" s="740"/>
      <c r="AC178" s="740"/>
      <c r="AD178" s="740"/>
      <c r="AE178" s="740"/>
      <c r="AF178" s="740"/>
      <c r="AG178" s="740"/>
      <c r="AH178" s="740"/>
      <c r="AI178" s="812" t="s">
        <v>496</v>
      </c>
      <c r="AJ178" s="802" t="s">
        <v>482</v>
      </c>
      <c r="AK178" s="189"/>
      <c r="AL178" s="189"/>
      <c r="AM178" s="189"/>
      <c r="AN178" s="291"/>
      <c r="AO178" s="803">
        <v>0.7</v>
      </c>
      <c r="AP178" s="189"/>
      <c r="AQ178" s="291"/>
      <c r="AR178" s="189"/>
      <c r="AS178" s="687"/>
      <c r="AT178" s="189"/>
      <c r="AU178" s="687"/>
      <c r="AV178" s="189"/>
      <c r="AW178" s="687"/>
      <c r="AX178" s="189"/>
      <c r="AY178" s="687"/>
      <c r="AZ178" s="740"/>
      <c r="BA178" s="740"/>
      <c r="BB178" s="740"/>
      <c r="BC178" s="740"/>
      <c r="BD178" s="740"/>
      <c r="BE178" s="740"/>
      <c r="BF178" s="740"/>
      <c r="BG178" s="740"/>
      <c r="BH178" s="740"/>
      <c r="BI178" s="740"/>
      <c r="BJ178" s="740"/>
      <c r="BK178" s="740"/>
      <c r="BL178" s="740"/>
      <c r="BM178" s="740"/>
      <c r="BN178" s="740"/>
      <c r="BO178" s="740"/>
      <c r="BP178" s="740"/>
      <c r="BQ178" s="740"/>
      <c r="BR178" s="740"/>
      <c r="BS178" s="740"/>
      <c r="BT178" s="740"/>
      <c r="BU178" s="740"/>
      <c r="BV178" s="740"/>
      <c r="BW178" s="740"/>
      <c r="BX178" s="740"/>
      <c r="BY178" s="740"/>
      <c r="BZ178" s="740"/>
      <c r="CA178" s="740"/>
      <c r="CB178" s="740"/>
      <c r="CC178" s="740"/>
      <c r="CD178" s="740"/>
      <c r="CE178" s="740"/>
      <c r="CF178" s="740"/>
      <c r="CG178" s="740"/>
      <c r="CH178" s="740"/>
      <c r="CI178" s="740"/>
      <c r="CJ178" s="740"/>
      <c r="CK178" s="740"/>
      <c r="CL178" s="740"/>
      <c r="CM178" s="740"/>
      <c r="CN178" s="740"/>
      <c r="CO178" s="740"/>
      <c r="CP178" s="740"/>
      <c r="CQ178" s="740"/>
      <c r="CR178" s="740"/>
      <c r="CS178" s="740"/>
      <c r="CT178" s="740"/>
      <c r="CU178" s="740"/>
      <c r="CV178" s="740"/>
      <c r="CW178" s="740"/>
      <c r="CX178" s="740"/>
      <c r="CY178" s="740"/>
      <c r="CZ178" s="740"/>
      <c r="DA178" s="740"/>
      <c r="DB178" s="740"/>
      <c r="DC178" s="740"/>
      <c r="DD178" s="740"/>
      <c r="DE178" s="740"/>
      <c r="DF178" s="740"/>
      <c r="DG178" s="740"/>
      <c r="DH178" s="740"/>
      <c r="DI178" s="740"/>
      <c r="DJ178" s="740"/>
      <c r="DK178" s="740"/>
      <c r="DL178" s="740"/>
      <c r="DM178" s="740"/>
      <c r="DN178" s="740"/>
      <c r="DO178" s="740"/>
      <c r="DP178" s="740"/>
      <c r="DQ178" s="740"/>
      <c r="DR178" s="740"/>
      <c r="DS178" s="740"/>
      <c r="DT178" s="740"/>
      <c r="DU178" s="740"/>
      <c r="DV178" s="740"/>
      <c r="DW178" s="740"/>
      <c r="DX178" s="740"/>
      <c r="DY178" s="740"/>
      <c r="DZ178" s="740"/>
      <c r="EA178" s="740"/>
      <c r="EB178" s="740"/>
      <c r="EC178" s="740"/>
      <c r="ED178" s="740"/>
      <c r="EE178" s="740"/>
      <c r="EF178" s="740"/>
      <c r="EG178" s="740"/>
      <c r="EH178" s="740"/>
      <c r="EI178" s="740"/>
      <c r="EJ178" s="740"/>
      <c r="EK178" s="740"/>
      <c r="EL178" s="740"/>
      <c r="EM178" s="740"/>
      <c r="EN178" s="740"/>
      <c r="EO178" s="740"/>
      <c r="EP178" s="740"/>
      <c r="EQ178" s="740"/>
      <c r="ER178" s="740"/>
      <c r="ES178" s="740"/>
      <c r="ET178" s="740"/>
      <c r="EU178" s="740"/>
      <c r="EV178" s="740"/>
      <c r="EW178" s="740"/>
      <c r="EX178" s="740"/>
      <c r="EY178" s="740"/>
      <c r="EZ178" s="740"/>
      <c r="FA178" s="740"/>
      <c r="FB178" s="740"/>
      <c r="FC178" s="740"/>
      <c r="FD178" s="740"/>
      <c r="FE178" s="740"/>
      <c r="FF178" s="740"/>
      <c r="FG178" s="740"/>
      <c r="FH178" s="740"/>
      <c r="FI178" s="740"/>
      <c r="FJ178" s="740"/>
      <c r="FK178" s="740"/>
      <c r="FL178" s="740"/>
      <c r="FM178" s="740"/>
      <c r="FN178" s="740"/>
      <c r="FO178" s="740"/>
      <c r="FP178" s="740"/>
      <c r="FQ178" s="740"/>
      <c r="FR178" s="740"/>
      <c r="FS178" s="740"/>
      <c r="FT178" s="740"/>
      <c r="FU178" s="740"/>
      <c r="FV178" s="740"/>
      <c r="FW178" s="740"/>
      <c r="FX178" s="740"/>
      <c r="FY178" s="740"/>
      <c r="FZ178" s="740"/>
      <c r="GA178" s="740"/>
      <c r="GB178" s="740"/>
      <c r="GC178" s="740"/>
      <c r="GD178" s="740"/>
      <c r="GE178" s="740"/>
      <c r="GF178" s="740"/>
      <c r="GG178" s="740"/>
      <c r="GH178" s="740"/>
      <c r="GI178" s="740"/>
      <c r="GJ178" s="740"/>
      <c r="GK178" s="740"/>
      <c r="GL178" s="740"/>
      <c r="GM178" s="740"/>
      <c r="GN178" s="740"/>
      <c r="GO178" s="740"/>
      <c r="GP178" s="740"/>
      <c r="GQ178" s="740"/>
      <c r="GR178" s="740"/>
      <c r="GS178" s="740"/>
      <c r="GT178" s="740"/>
      <c r="GU178" s="740"/>
      <c r="GV178" s="740"/>
      <c r="GW178" s="740"/>
    </row>
    <row r="179" spans="1:205" ht="24" customHeight="1" x14ac:dyDescent="0.2">
      <c r="A179" s="2503"/>
      <c r="E179" s="2599"/>
      <c r="F179" s="259" t="s">
        <v>317</v>
      </c>
      <c r="G179" s="2606" t="s">
        <v>300</v>
      </c>
      <c r="H179" s="2606"/>
      <c r="I179" s="2607">
        <v>35</v>
      </c>
      <c r="J179" s="2606" t="s">
        <v>301</v>
      </c>
      <c r="K179" s="2602" t="s">
        <v>299</v>
      </c>
      <c r="L179" s="2608">
        <f>L178/$I$179*100</f>
        <v>9142.8571428571449</v>
      </c>
      <c r="M179" s="2609"/>
      <c r="N179" s="2608">
        <f>N178/$I$179*100</f>
        <v>9000</v>
      </c>
      <c r="O179" s="2609"/>
      <c r="P179" s="2610">
        <f>P178/$I$179*100</f>
        <v>9142.8571428571431</v>
      </c>
      <c r="Q179" s="2609"/>
      <c r="R179" s="740"/>
      <c r="S179" s="740"/>
      <c r="T179" s="740"/>
      <c r="U179" s="740"/>
      <c r="V179" s="740"/>
      <c r="W179" s="740"/>
      <c r="X179" s="740"/>
      <c r="Y179" s="740"/>
      <c r="Z179" s="740"/>
      <c r="AA179" s="740"/>
      <c r="AB179" s="740"/>
      <c r="AC179" s="740"/>
      <c r="AD179" s="740"/>
      <c r="AE179" s="740"/>
      <c r="AF179" s="740"/>
      <c r="AG179" s="740"/>
      <c r="AH179" s="740"/>
      <c r="AI179" s="189"/>
      <c r="AJ179" s="802" t="s">
        <v>483</v>
      </c>
      <c r="AK179" s="189"/>
      <c r="AL179" s="189"/>
      <c r="AM179" s="189"/>
      <c r="AN179" s="291"/>
      <c r="AO179" s="803">
        <v>0.6</v>
      </c>
      <c r="AP179" s="189"/>
      <c r="AQ179" s="291"/>
      <c r="AR179" s="189"/>
      <c r="AS179" s="687"/>
      <c r="AT179" s="189"/>
      <c r="AU179" s="687"/>
      <c r="AV179" s="189"/>
      <c r="AW179" s="687"/>
      <c r="AX179" s="189"/>
      <c r="AY179" s="687"/>
      <c r="AZ179" s="740"/>
      <c r="BA179" s="740"/>
      <c r="BB179" s="740"/>
      <c r="BC179" s="740"/>
      <c r="BD179" s="740"/>
      <c r="BE179" s="740"/>
      <c r="BF179" s="740"/>
      <c r="BG179" s="740"/>
      <c r="BH179" s="740"/>
      <c r="BI179" s="740"/>
      <c r="BJ179" s="740"/>
      <c r="BK179" s="740"/>
      <c r="BL179" s="740"/>
      <c r="BM179" s="740"/>
      <c r="BN179" s="740"/>
      <c r="BO179" s="740"/>
      <c r="BP179" s="740"/>
      <c r="BQ179" s="740"/>
      <c r="BR179" s="740"/>
      <c r="BS179" s="740"/>
      <c r="BT179" s="740"/>
      <c r="BU179" s="740"/>
      <c r="BV179" s="740"/>
      <c r="BW179" s="740"/>
      <c r="BX179" s="740"/>
      <c r="BY179" s="740"/>
      <c r="BZ179" s="740"/>
      <c r="CA179" s="740"/>
      <c r="CB179" s="740"/>
      <c r="CC179" s="740"/>
      <c r="CD179" s="740"/>
      <c r="CE179" s="740"/>
      <c r="CF179" s="740"/>
      <c r="CG179" s="740"/>
      <c r="CH179" s="740"/>
      <c r="CI179" s="740"/>
      <c r="CJ179" s="740"/>
      <c r="CK179" s="740"/>
      <c r="CL179" s="740"/>
      <c r="CM179" s="740"/>
      <c r="CN179" s="740"/>
      <c r="CO179" s="740"/>
      <c r="CP179" s="740"/>
      <c r="CQ179" s="740"/>
      <c r="CR179" s="740"/>
      <c r="CS179" s="740"/>
      <c r="CT179" s="740"/>
      <c r="CU179" s="740"/>
      <c r="CV179" s="740"/>
      <c r="CW179" s="740"/>
      <c r="CX179" s="740"/>
      <c r="CY179" s="740"/>
      <c r="CZ179" s="740"/>
      <c r="DA179" s="740"/>
      <c r="DB179" s="740"/>
      <c r="DC179" s="740"/>
      <c r="DD179" s="740"/>
      <c r="DE179" s="740"/>
      <c r="DF179" s="740"/>
      <c r="DG179" s="740"/>
      <c r="DH179" s="740"/>
      <c r="DI179" s="740"/>
      <c r="DJ179" s="740"/>
      <c r="DK179" s="740"/>
      <c r="DL179" s="740"/>
      <c r="DM179" s="740"/>
      <c r="DN179" s="740"/>
      <c r="DO179" s="740"/>
      <c r="DP179" s="740"/>
      <c r="DQ179" s="740"/>
      <c r="DR179" s="740"/>
      <c r="DS179" s="740"/>
      <c r="DT179" s="740"/>
      <c r="DU179" s="740"/>
      <c r="DV179" s="740"/>
      <c r="DW179" s="740"/>
      <c r="DX179" s="740"/>
      <c r="DY179" s="740"/>
      <c r="DZ179" s="740"/>
      <c r="EA179" s="740"/>
      <c r="EB179" s="740"/>
      <c r="EC179" s="740"/>
      <c r="ED179" s="740"/>
      <c r="EE179" s="740"/>
      <c r="EF179" s="740"/>
      <c r="EG179" s="740"/>
      <c r="EH179" s="740"/>
      <c r="EI179" s="740"/>
      <c r="EJ179" s="740"/>
      <c r="EK179" s="740"/>
      <c r="EL179" s="740"/>
      <c r="EM179" s="740"/>
      <c r="EN179" s="740"/>
      <c r="EO179" s="740"/>
      <c r="EP179" s="740"/>
      <c r="EQ179" s="740"/>
      <c r="ER179" s="740"/>
      <c r="ES179" s="740"/>
      <c r="ET179" s="740"/>
      <c r="EU179" s="740"/>
      <c r="EV179" s="740"/>
      <c r="EW179" s="740"/>
      <c r="EX179" s="740"/>
      <c r="EY179" s="740"/>
      <c r="EZ179" s="740"/>
      <c r="FA179" s="740"/>
      <c r="FB179" s="740"/>
      <c r="FC179" s="740"/>
      <c r="FD179" s="740"/>
      <c r="FE179" s="740"/>
      <c r="FF179" s="740"/>
      <c r="FG179" s="740"/>
      <c r="FH179" s="740"/>
      <c r="FI179" s="740"/>
      <c r="FJ179" s="740"/>
      <c r="FK179" s="740"/>
      <c r="FL179" s="740"/>
      <c r="FM179" s="740"/>
      <c r="FN179" s="740"/>
      <c r="FO179" s="740"/>
      <c r="FP179" s="740"/>
      <c r="FQ179" s="740"/>
      <c r="FR179" s="740"/>
      <c r="FS179" s="740"/>
      <c r="FT179" s="740"/>
      <c r="FU179" s="740"/>
      <c r="FV179" s="740"/>
      <c r="FW179" s="740"/>
      <c r="FX179" s="740"/>
      <c r="FY179" s="740"/>
      <c r="FZ179" s="740"/>
      <c r="GA179" s="740"/>
      <c r="GB179" s="740"/>
      <c r="GC179" s="740"/>
      <c r="GD179" s="740"/>
      <c r="GE179" s="740"/>
      <c r="GF179" s="740"/>
      <c r="GG179" s="740"/>
      <c r="GH179" s="740"/>
      <c r="GI179" s="740"/>
      <c r="GJ179" s="740"/>
      <c r="GK179" s="740"/>
      <c r="GL179" s="740"/>
      <c r="GM179" s="740"/>
      <c r="GN179" s="740"/>
      <c r="GO179" s="740"/>
      <c r="GP179" s="740"/>
      <c r="GQ179" s="740"/>
      <c r="GR179" s="740"/>
      <c r="GS179" s="740"/>
      <c r="GT179" s="740"/>
      <c r="GU179" s="740"/>
      <c r="GV179" s="740"/>
      <c r="GW179" s="740"/>
    </row>
    <row r="180" spans="1:205" ht="24" customHeight="1" x14ac:dyDescent="0.2">
      <c r="A180" s="2503"/>
      <c r="E180" s="2611"/>
      <c r="F180" s="523" t="s">
        <v>317</v>
      </c>
      <c r="G180" s="2614" t="s">
        <v>300</v>
      </c>
      <c r="H180" s="2614"/>
      <c r="I180" s="2615">
        <v>350</v>
      </c>
      <c r="J180" s="2614" t="s">
        <v>739</v>
      </c>
      <c r="K180" s="2616" t="s">
        <v>1109</v>
      </c>
      <c r="L180" s="2620">
        <f>L179/$I$180</f>
        <v>26.122448979591844</v>
      </c>
      <c r="M180" s="2621"/>
      <c r="N180" s="2620">
        <f>N179/$I$180</f>
        <v>25.714285714285715</v>
      </c>
      <c r="O180" s="2621"/>
      <c r="P180" s="2620">
        <f>P179/$I$180</f>
        <v>26.122448979591837</v>
      </c>
      <c r="Q180" s="2621"/>
      <c r="R180" s="740"/>
      <c r="S180" s="740"/>
      <c r="T180" s="740"/>
      <c r="U180" s="740"/>
      <c r="V180" s="740"/>
      <c r="W180" s="740"/>
      <c r="X180" s="740"/>
      <c r="Y180" s="740"/>
      <c r="Z180" s="740"/>
      <c r="AA180" s="740"/>
      <c r="AB180" s="740"/>
      <c r="AC180" s="740"/>
      <c r="AD180" s="740"/>
      <c r="AE180" s="740"/>
      <c r="AF180" s="740"/>
      <c r="AG180" s="740"/>
      <c r="AH180" s="740"/>
      <c r="AI180" s="189"/>
      <c r="AJ180" s="802" t="s">
        <v>484</v>
      </c>
      <c r="AK180" s="189"/>
      <c r="AL180" s="189"/>
      <c r="AM180" s="189"/>
      <c r="AN180" s="291"/>
      <c r="AO180" s="803">
        <v>0.3</v>
      </c>
      <c r="AP180" s="189"/>
      <c r="AQ180" s="291"/>
      <c r="AR180" s="189"/>
      <c r="AS180" s="687"/>
      <c r="AT180" s="189"/>
      <c r="AU180" s="687"/>
      <c r="AV180" s="189"/>
      <c r="AW180" s="687"/>
      <c r="AX180" s="189"/>
      <c r="AY180" s="687"/>
      <c r="AZ180" s="740"/>
      <c r="BA180" s="740"/>
      <c r="BB180" s="740"/>
      <c r="BC180" s="740"/>
      <c r="BD180" s="740"/>
      <c r="BE180" s="740"/>
      <c r="BF180" s="740"/>
      <c r="BG180" s="740"/>
      <c r="BH180" s="740"/>
      <c r="BI180" s="740"/>
      <c r="BJ180" s="740"/>
      <c r="BK180" s="740"/>
      <c r="BL180" s="740"/>
      <c r="BM180" s="740"/>
      <c r="BN180" s="740"/>
      <c r="BO180" s="740"/>
      <c r="BP180" s="740"/>
      <c r="BQ180" s="740"/>
      <c r="BR180" s="740"/>
      <c r="BS180" s="740"/>
      <c r="BT180" s="740"/>
      <c r="BU180" s="740"/>
      <c r="BV180" s="740"/>
      <c r="BW180" s="740"/>
      <c r="BX180" s="740"/>
      <c r="BY180" s="740"/>
      <c r="BZ180" s="740"/>
      <c r="CA180" s="740"/>
      <c r="CB180" s="740"/>
      <c r="CC180" s="740"/>
      <c r="CD180" s="740"/>
      <c r="CE180" s="740"/>
      <c r="CF180" s="740"/>
      <c r="CG180" s="740"/>
      <c r="CH180" s="740"/>
      <c r="CI180" s="740"/>
      <c r="CJ180" s="740"/>
      <c r="CK180" s="740"/>
      <c r="CL180" s="740"/>
      <c r="CM180" s="740"/>
      <c r="CN180" s="740"/>
      <c r="CO180" s="740"/>
      <c r="CP180" s="740"/>
      <c r="CQ180" s="740"/>
      <c r="CR180" s="740"/>
      <c r="CS180" s="740"/>
      <c r="CT180" s="740"/>
      <c r="CU180" s="740"/>
      <c r="CV180" s="740"/>
      <c r="CW180" s="740"/>
      <c r="CX180" s="740"/>
      <c r="CY180" s="740"/>
      <c r="CZ180" s="740"/>
      <c r="DA180" s="740"/>
      <c r="DB180" s="740"/>
      <c r="DC180" s="740"/>
      <c r="DD180" s="740"/>
      <c r="DE180" s="740"/>
      <c r="DF180" s="740"/>
      <c r="DG180" s="740"/>
      <c r="DH180" s="740"/>
      <c r="DI180" s="740"/>
      <c r="DJ180" s="740"/>
      <c r="DK180" s="740"/>
      <c r="DL180" s="740"/>
      <c r="DM180" s="740"/>
      <c r="DN180" s="740"/>
      <c r="DO180" s="740"/>
      <c r="DP180" s="740"/>
      <c r="DQ180" s="740"/>
      <c r="DR180" s="740"/>
      <c r="DS180" s="740"/>
      <c r="DT180" s="740"/>
      <c r="DU180" s="740"/>
      <c r="DV180" s="740"/>
      <c r="DW180" s="740"/>
      <c r="DX180" s="740"/>
      <c r="DY180" s="740"/>
      <c r="DZ180" s="740"/>
      <c r="EA180" s="740"/>
      <c r="EB180" s="740"/>
      <c r="EC180" s="740"/>
      <c r="ED180" s="740"/>
      <c r="EE180" s="740"/>
      <c r="EF180" s="740"/>
      <c r="EG180" s="740"/>
      <c r="EH180" s="740"/>
      <c r="EI180" s="740"/>
      <c r="EJ180" s="740"/>
      <c r="EK180" s="740"/>
      <c r="EL180" s="740"/>
      <c r="EM180" s="740"/>
      <c r="EN180" s="740"/>
      <c r="EO180" s="740"/>
      <c r="EP180" s="740"/>
      <c r="EQ180" s="740"/>
      <c r="ER180" s="740"/>
      <c r="ES180" s="740"/>
      <c r="ET180" s="740"/>
      <c r="EU180" s="740"/>
      <c r="EV180" s="740"/>
      <c r="EW180" s="740"/>
      <c r="EX180" s="740"/>
      <c r="EY180" s="740"/>
      <c r="EZ180" s="740"/>
      <c r="FA180" s="740"/>
      <c r="FB180" s="740"/>
      <c r="FC180" s="740"/>
      <c r="FD180" s="740"/>
      <c r="FE180" s="740"/>
      <c r="FF180" s="740"/>
      <c r="FG180" s="740"/>
      <c r="FH180" s="740"/>
      <c r="FI180" s="740"/>
      <c r="FJ180" s="740"/>
      <c r="FK180" s="740"/>
      <c r="FL180" s="740"/>
      <c r="FM180" s="740"/>
      <c r="FN180" s="740"/>
      <c r="FO180" s="740"/>
      <c r="FP180" s="740"/>
      <c r="FQ180" s="740"/>
      <c r="FR180" s="740"/>
      <c r="FS180" s="740"/>
      <c r="FT180" s="740"/>
      <c r="FU180" s="740"/>
      <c r="FV180" s="740"/>
      <c r="FW180" s="740"/>
      <c r="FX180" s="740"/>
      <c r="FY180" s="740"/>
      <c r="FZ180" s="740"/>
      <c r="GA180" s="740"/>
      <c r="GB180" s="740"/>
      <c r="GC180" s="740"/>
      <c r="GD180" s="740"/>
      <c r="GE180" s="740"/>
      <c r="GF180" s="740"/>
      <c r="GG180" s="740"/>
      <c r="GH180" s="740"/>
      <c r="GI180" s="740"/>
      <c r="GJ180" s="740"/>
      <c r="GK180" s="740"/>
      <c r="GL180" s="740"/>
      <c r="GM180" s="740"/>
      <c r="GN180" s="740"/>
      <c r="GO180" s="740"/>
      <c r="GP180" s="740"/>
      <c r="GQ180" s="740"/>
      <c r="GR180" s="740"/>
      <c r="GS180" s="740"/>
      <c r="GT180" s="740"/>
      <c r="GU180" s="740"/>
      <c r="GV180" s="740"/>
      <c r="GW180" s="740"/>
    </row>
    <row r="181" spans="1:205" ht="24" customHeight="1" x14ac:dyDescent="0.2">
      <c r="A181" s="2503"/>
      <c r="E181" s="2562"/>
      <c r="F181" s="28"/>
      <c r="G181" s="28"/>
      <c r="H181" s="28"/>
      <c r="I181" s="28"/>
      <c r="J181" s="28"/>
      <c r="K181" s="1748"/>
      <c r="L181" s="2586"/>
      <c r="M181" s="28"/>
      <c r="N181" s="2586"/>
      <c r="O181" s="28"/>
      <c r="P181" s="2586"/>
      <c r="Q181" s="28"/>
      <c r="R181" s="740"/>
      <c r="S181" s="740"/>
      <c r="T181" s="740"/>
      <c r="U181" s="740"/>
      <c r="V181" s="740"/>
      <c r="W181" s="740"/>
      <c r="X181" s="740"/>
      <c r="Y181" s="740"/>
      <c r="Z181" s="740"/>
      <c r="AA181" s="740"/>
      <c r="AB181" s="740"/>
      <c r="AC181" s="740"/>
      <c r="AD181" s="740"/>
      <c r="AE181" s="740"/>
      <c r="AF181" s="740"/>
      <c r="AG181" s="740"/>
      <c r="AH181" s="740"/>
      <c r="AI181" s="189"/>
      <c r="AJ181" s="468" t="s">
        <v>485</v>
      </c>
      <c r="AK181" s="189"/>
      <c r="AL181" s="189"/>
      <c r="AM181" s="189"/>
      <c r="AN181" s="291"/>
      <c r="AO181" s="801">
        <v>0.3</v>
      </c>
      <c r="AP181" s="189"/>
      <c r="AQ181" s="291"/>
      <c r="AR181" s="189"/>
      <c r="AS181" s="687"/>
      <c r="AT181" s="189"/>
      <c r="AU181" s="687"/>
      <c r="AV181" s="189"/>
      <c r="AW181" s="687"/>
      <c r="AX181" s="189"/>
      <c r="AY181" s="687"/>
      <c r="AZ181" s="740"/>
      <c r="BA181" s="740"/>
      <c r="BB181" s="740"/>
      <c r="BC181" s="740"/>
      <c r="BD181" s="740"/>
      <c r="BE181" s="740"/>
      <c r="BF181" s="740"/>
      <c r="BG181" s="740"/>
      <c r="BH181" s="740"/>
      <c r="BI181" s="740"/>
      <c r="BJ181" s="740"/>
      <c r="BK181" s="740"/>
      <c r="BL181" s="740"/>
      <c r="BM181" s="740"/>
      <c r="BN181" s="740"/>
      <c r="BO181" s="740"/>
      <c r="BP181" s="740"/>
      <c r="BQ181" s="740"/>
      <c r="BR181" s="740"/>
      <c r="BS181" s="740"/>
      <c r="BT181" s="740"/>
      <c r="BU181" s="740"/>
      <c r="BV181" s="740"/>
      <c r="BW181" s="740"/>
      <c r="BX181" s="740"/>
      <c r="BY181" s="740"/>
      <c r="BZ181" s="740"/>
      <c r="CA181" s="740"/>
      <c r="CB181" s="740"/>
      <c r="CC181" s="740"/>
      <c r="CD181" s="740"/>
      <c r="CE181" s="740"/>
      <c r="CF181" s="740"/>
      <c r="CG181" s="740"/>
      <c r="CH181" s="740"/>
      <c r="CI181" s="740"/>
      <c r="CJ181" s="740"/>
      <c r="CK181" s="740"/>
      <c r="CL181" s="740"/>
      <c r="CM181" s="740"/>
      <c r="CN181" s="740"/>
      <c r="CO181" s="740"/>
      <c r="CP181" s="740"/>
      <c r="CQ181" s="740"/>
      <c r="CR181" s="740"/>
      <c r="CS181" s="740"/>
      <c r="CT181" s="740"/>
      <c r="CU181" s="740"/>
      <c r="CV181" s="740"/>
      <c r="CW181" s="740"/>
      <c r="CX181" s="740"/>
      <c r="CY181" s="740"/>
      <c r="CZ181" s="740"/>
      <c r="DA181" s="740"/>
      <c r="DB181" s="740"/>
      <c r="DC181" s="740"/>
      <c r="DD181" s="740"/>
      <c r="DE181" s="740"/>
      <c r="DF181" s="740"/>
      <c r="DG181" s="740"/>
      <c r="DH181" s="740"/>
      <c r="DI181" s="740"/>
      <c r="DJ181" s="740"/>
      <c r="DK181" s="740"/>
      <c r="DL181" s="740"/>
      <c r="DM181" s="740"/>
      <c r="DN181" s="740"/>
      <c r="DO181" s="740"/>
      <c r="DP181" s="740"/>
      <c r="DQ181" s="740"/>
      <c r="DR181" s="740"/>
      <c r="DS181" s="740"/>
      <c r="DT181" s="740"/>
      <c r="DU181" s="740"/>
      <c r="DV181" s="740"/>
      <c r="DW181" s="740"/>
      <c r="DX181" s="740"/>
      <c r="DY181" s="740"/>
      <c r="DZ181" s="740"/>
      <c r="EA181" s="740"/>
      <c r="EB181" s="740"/>
      <c r="EC181" s="740"/>
      <c r="ED181" s="740"/>
      <c r="EE181" s="740"/>
      <c r="EF181" s="740"/>
      <c r="EG181" s="740"/>
      <c r="EH181" s="740"/>
      <c r="EI181" s="740"/>
      <c r="EJ181" s="740"/>
      <c r="EK181" s="740"/>
      <c r="EL181" s="740"/>
      <c r="EM181" s="740"/>
      <c r="EN181" s="740"/>
      <c r="EO181" s="740"/>
      <c r="EP181" s="740"/>
      <c r="EQ181" s="740"/>
      <c r="ER181" s="740"/>
      <c r="ES181" s="740"/>
      <c r="ET181" s="740"/>
      <c r="EU181" s="740"/>
      <c r="EV181" s="740"/>
      <c r="EW181" s="740"/>
      <c r="EX181" s="740"/>
      <c r="EY181" s="740"/>
      <c r="EZ181" s="740"/>
      <c r="FA181" s="740"/>
      <c r="FB181" s="740"/>
      <c r="FC181" s="740"/>
      <c r="FD181" s="740"/>
      <c r="FE181" s="740"/>
      <c r="FF181" s="740"/>
      <c r="FG181" s="740"/>
      <c r="FH181" s="740"/>
      <c r="FI181" s="740"/>
      <c r="FJ181" s="740"/>
      <c r="FK181" s="740"/>
      <c r="FL181" s="740"/>
      <c r="FM181" s="740"/>
      <c r="FN181" s="740"/>
      <c r="FO181" s="740"/>
      <c r="FP181" s="740"/>
      <c r="FQ181" s="740"/>
      <c r="FR181" s="740"/>
      <c r="FS181" s="740"/>
      <c r="FT181" s="740"/>
      <c r="FU181" s="740"/>
      <c r="FV181" s="740"/>
      <c r="FW181" s="740"/>
      <c r="FX181" s="740"/>
      <c r="FY181" s="740"/>
      <c r="FZ181" s="740"/>
      <c r="GA181" s="740"/>
      <c r="GB181" s="740"/>
      <c r="GC181" s="740"/>
      <c r="GD181" s="740"/>
      <c r="GE181" s="740"/>
      <c r="GF181" s="740"/>
      <c r="GG181" s="740"/>
      <c r="GH181" s="740"/>
      <c r="GI181" s="740"/>
      <c r="GJ181" s="740"/>
      <c r="GK181" s="740"/>
      <c r="GL181" s="740"/>
      <c r="GM181" s="740"/>
      <c r="GN181" s="740"/>
      <c r="GO181" s="740"/>
      <c r="GP181" s="740"/>
      <c r="GQ181" s="740"/>
      <c r="GR181" s="740"/>
      <c r="GS181" s="740"/>
      <c r="GT181" s="740"/>
      <c r="GU181" s="740"/>
      <c r="GV181" s="740"/>
      <c r="GW181" s="740"/>
    </row>
    <row r="182" spans="1:205" ht="24" customHeight="1" x14ac:dyDescent="0.2">
      <c r="A182" s="2503"/>
      <c r="E182" s="2562" t="s">
        <v>113</v>
      </c>
      <c r="F182"/>
      <c r="G182"/>
      <c r="H182"/>
      <c r="I182"/>
      <c r="J182"/>
      <c r="K182"/>
      <c r="L182"/>
      <c r="M182"/>
      <c r="N182"/>
      <c r="O182"/>
      <c r="P182"/>
      <c r="Q182"/>
      <c r="R182" s="740"/>
      <c r="S182" s="740"/>
      <c r="T182" s="740"/>
      <c r="U182" s="740"/>
      <c r="V182" s="740"/>
      <c r="W182" s="740"/>
      <c r="X182" s="740"/>
      <c r="Y182" s="740"/>
      <c r="Z182" s="740"/>
      <c r="AA182" s="740"/>
      <c r="AB182" s="740"/>
      <c r="AC182" s="740"/>
      <c r="AD182" s="740"/>
      <c r="AE182" s="740"/>
      <c r="AF182" s="740"/>
      <c r="AG182" s="740"/>
      <c r="AH182" s="740"/>
      <c r="AI182" s="189"/>
      <c r="AJ182" s="469" t="s">
        <v>486</v>
      </c>
      <c r="AK182" s="190"/>
      <c r="AL182" s="190"/>
      <c r="AM182" s="190"/>
      <c r="AN182" s="418"/>
      <c r="AO182" s="804"/>
      <c r="AP182" s="189"/>
      <c r="AQ182" s="291"/>
      <c r="AR182" s="189"/>
      <c r="AS182" s="687"/>
      <c r="AT182" s="189"/>
      <c r="AU182" s="687"/>
      <c r="AV182" s="189"/>
      <c r="AW182" s="687"/>
      <c r="AX182" s="189"/>
      <c r="AY182" s="687"/>
      <c r="AZ182" s="740"/>
      <c r="BA182" s="740"/>
      <c r="BB182" s="740"/>
      <c r="BC182" s="740"/>
      <c r="BD182" s="740"/>
      <c r="BE182" s="740"/>
      <c r="BF182" s="740"/>
      <c r="BG182" s="740"/>
      <c r="BH182" s="740"/>
      <c r="BI182" s="740"/>
      <c r="BJ182" s="740"/>
      <c r="BK182" s="740"/>
      <c r="BL182" s="740"/>
      <c r="BM182" s="740"/>
      <c r="BN182" s="740"/>
      <c r="BO182" s="740"/>
      <c r="BP182" s="740"/>
      <c r="BQ182" s="740"/>
      <c r="BR182" s="740"/>
      <c r="BS182" s="740"/>
      <c r="BT182" s="740"/>
      <c r="BU182" s="740"/>
      <c r="BV182" s="740"/>
      <c r="BW182" s="740"/>
      <c r="BX182" s="740"/>
      <c r="BY182" s="740"/>
      <c r="BZ182" s="740"/>
      <c r="CA182" s="740"/>
      <c r="CB182" s="740"/>
      <c r="CC182" s="740"/>
      <c r="CD182" s="740"/>
      <c r="CE182" s="740"/>
      <c r="CF182" s="740"/>
      <c r="CG182" s="740"/>
      <c r="CH182" s="740"/>
      <c r="CI182" s="740"/>
      <c r="CJ182" s="740"/>
      <c r="CK182" s="740"/>
      <c r="CL182" s="740"/>
      <c r="CM182" s="740"/>
      <c r="CN182" s="740"/>
      <c r="CO182" s="740"/>
      <c r="CP182" s="740"/>
      <c r="CQ182" s="740"/>
      <c r="CR182" s="740"/>
      <c r="CS182" s="740"/>
      <c r="CT182" s="740"/>
      <c r="CU182" s="740"/>
      <c r="CV182" s="740"/>
      <c r="CW182" s="740"/>
      <c r="CX182" s="740"/>
      <c r="CY182" s="740"/>
      <c r="CZ182" s="740"/>
      <c r="DA182" s="740"/>
      <c r="DB182" s="740"/>
      <c r="DC182" s="740"/>
      <c r="DD182" s="740"/>
      <c r="DE182" s="740"/>
      <c r="DF182" s="740"/>
      <c r="DG182" s="740"/>
      <c r="DH182" s="740"/>
      <c r="DI182" s="740"/>
      <c r="DJ182" s="740"/>
      <c r="DK182" s="740"/>
      <c r="DL182" s="740"/>
      <c r="DM182" s="740"/>
      <c r="DN182" s="740"/>
      <c r="DO182" s="740"/>
      <c r="DP182" s="740"/>
      <c r="DQ182" s="740"/>
      <c r="DR182" s="740"/>
      <c r="DS182" s="740"/>
      <c r="DT182" s="740"/>
      <c r="DU182" s="740"/>
      <c r="DV182" s="740"/>
      <c r="DW182" s="740"/>
      <c r="DX182" s="740"/>
      <c r="DY182" s="740"/>
      <c r="DZ182" s="740"/>
      <c r="EA182" s="740"/>
      <c r="EB182" s="740"/>
      <c r="EC182" s="740"/>
      <c r="ED182" s="740"/>
      <c r="EE182" s="740"/>
      <c r="EF182" s="740"/>
      <c r="EG182" s="740"/>
      <c r="EH182" s="740"/>
      <c r="EI182" s="740"/>
      <c r="EJ182" s="740"/>
      <c r="EK182" s="740"/>
      <c r="EL182" s="740"/>
      <c r="EM182" s="740"/>
      <c r="EN182" s="740"/>
      <c r="EO182" s="740"/>
      <c r="EP182" s="740"/>
      <c r="EQ182" s="740"/>
      <c r="ER182" s="740"/>
      <c r="ES182" s="740"/>
      <c r="ET182" s="740"/>
      <c r="EU182" s="740"/>
      <c r="EV182" s="740"/>
      <c r="EW182" s="740"/>
      <c r="EX182" s="740"/>
      <c r="EY182" s="740"/>
      <c r="EZ182" s="740"/>
      <c r="FA182" s="740"/>
      <c r="FB182" s="740"/>
      <c r="FC182" s="740"/>
      <c r="FD182" s="740"/>
      <c r="FE182" s="740"/>
      <c r="FF182" s="740"/>
      <c r="FG182" s="740"/>
      <c r="FH182" s="740"/>
      <c r="FI182" s="740"/>
      <c r="FJ182" s="740"/>
      <c r="FK182" s="740"/>
      <c r="FL182" s="740"/>
      <c r="FM182" s="740"/>
      <c r="FN182" s="740"/>
      <c r="FO182" s="740"/>
      <c r="FP182" s="740"/>
      <c r="FQ182" s="740"/>
      <c r="FR182" s="740"/>
      <c r="FS182" s="740"/>
      <c r="FT182" s="740"/>
      <c r="FU182" s="740"/>
      <c r="FV182" s="740"/>
      <c r="FW182" s="740"/>
      <c r="FX182" s="740"/>
      <c r="FY182" s="740"/>
      <c r="FZ182" s="740"/>
      <c r="GA182" s="740"/>
      <c r="GB182" s="740"/>
      <c r="GC182" s="740"/>
      <c r="GD182" s="740"/>
      <c r="GE182" s="740"/>
      <c r="GF182" s="740"/>
      <c r="GG182" s="740"/>
      <c r="GH182" s="740"/>
      <c r="GI182" s="740"/>
      <c r="GJ182" s="740"/>
      <c r="GK182" s="740"/>
      <c r="GL182" s="740"/>
      <c r="GM182" s="740"/>
      <c r="GN182" s="740"/>
      <c r="GO182" s="740"/>
      <c r="GP182" s="740"/>
      <c r="GQ182" s="740"/>
      <c r="GR182" s="740"/>
      <c r="GS182" s="740"/>
      <c r="GT182" s="740"/>
      <c r="GU182" s="740"/>
      <c r="GV182" s="740"/>
      <c r="GW182" s="740"/>
    </row>
    <row r="183" spans="1:205" ht="24" customHeight="1" x14ac:dyDescent="0.2">
      <c r="A183" s="2503"/>
      <c r="E183" s="2562" t="s">
        <v>120</v>
      </c>
      <c r="F183"/>
      <c r="G183"/>
      <c r="H183"/>
      <c r="I183"/>
      <c r="J183"/>
      <c r="K183"/>
      <c r="L183"/>
      <c r="M183"/>
      <c r="N183"/>
      <c r="O183"/>
      <c r="P183"/>
      <c r="Q183"/>
      <c r="R183" s="740"/>
      <c r="S183" s="740"/>
      <c r="T183" s="740"/>
      <c r="U183" s="740"/>
      <c r="V183" s="740"/>
      <c r="W183" s="740"/>
      <c r="X183" s="740"/>
      <c r="Y183" s="740"/>
      <c r="Z183" s="740"/>
      <c r="AA183" s="740"/>
      <c r="AB183" s="740"/>
      <c r="AC183" s="740"/>
      <c r="AD183" s="740"/>
      <c r="AE183" s="740"/>
      <c r="AF183" s="740"/>
      <c r="AG183" s="740"/>
      <c r="AH183" s="740"/>
      <c r="AI183" s="189"/>
      <c r="AJ183" s="189"/>
      <c r="AK183" s="189"/>
      <c r="AL183" s="189"/>
      <c r="AM183" s="189"/>
      <c r="AN183" s="291"/>
      <c r="AO183" s="189"/>
      <c r="AP183" s="687"/>
      <c r="AQ183" s="189"/>
      <c r="AR183" s="687"/>
      <c r="AS183" s="189"/>
      <c r="AT183" s="687"/>
      <c r="AU183" s="189"/>
      <c r="AV183" s="687"/>
      <c r="AW183" s="740"/>
      <c r="AX183" s="740"/>
      <c r="AY183" s="740"/>
      <c r="AZ183" s="740"/>
      <c r="BA183" s="740"/>
      <c r="BB183" s="740"/>
      <c r="BC183" s="740"/>
      <c r="BD183" s="740"/>
      <c r="BE183" s="740"/>
      <c r="BF183" s="740"/>
      <c r="BG183" s="740"/>
      <c r="BH183" s="740"/>
      <c r="BI183" s="740"/>
      <c r="BJ183" s="740"/>
      <c r="BK183" s="740"/>
      <c r="BL183" s="740"/>
      <c r="BM183" s="740"/>
      <c r="BN183" s="740"/>
      <c r="BO183" s="740"/>
      <c r="BP183" s="740"/>
      <c r="BQ183" s="740"/>
      <c r="BR183" s="740"/>
      <c r="BS183" s="740"/>
      <c r="BT183" s="740"/>
      <c r="BU183" s="740"/>
      <c r="BV183" s="740"/>
      <c r="BW183" s="740"/>
      <c r="BX183" s="740"/>
      <c r="BY183" s="740"/>
      <c r="BZ183" s="740"/>
      <c r="CA183" s="740"/>
      <c r="CB183" s="740"/>
      <c r="CC183" s="740"/>
      <c r="CD183" s="740"/>
      <c r="CE183" s="740"/>
      <c r="CF183" s="740"/>
      <c r="CG183" s="740"/>
      <c r="CH183" s="740"/>
      <c r="CI183" s="740"/>
      <c r="CJ183" s="740"/>
      <c r="CK183" s="740"/>
      <c r="CL183" s="740"/>
      <c r="CM183" s="740"/>
      <c r="CN183" s="740"/>
      <c r="CO183" s="740"/>
      <c r="CP183" s="740"/>
      <c r="CQ183" s="740"/>
      <c r="CR183" s="740"/>
      <c r="CS183" s="740"/>
      <c r="CT183" s="740"/>
      <c r="CU183" s="740"/>
      <c r="CV183" s="740"/>
      <c r="CW183" s="740"/>
      <c r="CX183" s="740"/>
      <c r="CY183" s="740"/>
      <c r="CZ183" s="740"/>
      <c r="DA183" s="740"/>
      <c r="DB183" s="740"/>
      <c r="DC183" s="740"/>
      <c r="DD183" s="740"/>
      <c r="DE183" s="740"/>
      <c r="DF183" s="740"/>
      <c r="DG183" s="740"/>
      <c r="DH183" s="740"/>
      <c r="DI183" s="740"/>
      <c r="DJ183" s="740"/>
      <c r="DK183" s="740"/>
      <c r="DL183" s="740"/>
      <c r="DM183" s="740"/>
      <c r="DN183" s="740"/>
      <c r="DO183" s="740"/>
      <c r="DP183" s="740"/>
      <c r="DQ183" s="740"/>
      <c r="DR183" s="740"/>
      <c r="DS183" s="740"/>
      <c r="DT183" s="740"/>
      <c r="DU183" s="740"/>
      <c r="DV183" s="740"/>
      <c r="DW183" s="740"/>
      <c r="DX183" s="740"/>
      <c r="DY183" s="740"/>
      <c r="DZ183" s="740"/>
      <c r="EA183" s="740"/>
      <c r="EB183" s="740"/>
      <c r="EC183" s="740"/>
      <c r="ED183" s="740"/>
      <c r="EE183" s="740"/>
      <c r="EF183" s="740"/>
      <c r="EG183" s="740"/>
      <c r="EH183" s="740"/>
      <c r="EI183" s="740"/>
      <c r="EJ183" s="740"/>
      <c r="EK183" s="740"/>
      <c r="EL183" s="740"/>
      <c r="EM183" s="740"/>
      <c r="EN183" s="740"/>
      <c r="EO183" s="740"/>
      <c r="EP183" s="740"/>
      <c r="EQ183" s="740"/>
      <c r="ER183" s="740"/>
      <c r="ES183" s="740"/>
      <c r="ET183" s="740"/>
      <c r="EU183" s="740"/>
      <c r="EV183" s="740"/>
      <c r="EW183" s="740"/>
      <c r="EX183" s="740"/>
      <c r="EY183" s="740"/>
      <c r="EZ183" s="740"/>
      <c r="FA183" s="740"/>
      <c r="FB183" s="740"/>
      <c r="FC183" s="740"/>
      <c r="FD183" s="740"/>
      <c r="FE183" s="740"/>
      <c r="FF183" s="740"/>
      <c r="FG183" s="740"/>
      <c r="FH183" s="740"/>
      <c r="FI183" s="740"/>
      <c r="FJ183" s="740"/>
      <c r="FK183" s="740"/>
      <c r="FL183" s="740"/>
      <c r="FM183" s="740"/>
      <c r="FN183" s="740"/>
      <c r="FO183" s="740"/>
      <c r="FP183" s="740"/>
      <c r="FQ183" s="740"/>
      <c r="FR183" s="740"/>
      <c r="FS183" s="740"/>
      <c r="FT183" s="740"/>
      <c r="FU183" s="740"/>
      <c r="FV183" s="740"/>
      <c r="FW183" s="740"/>
      <c r="FX183" s="740"/>
      <c r="FY183" s="740"/>
      <c r="FZ183" s="740"/>
      <c r="GA183" s="740"/>
      <c r="GB183" s="740"/>
      <c r="GC183" s="740"/>
      <c r="GD183" s="740"/>
      <c r="GE183" s="740"/>
      <c r="GF183" s="740"/>
      <c r="GG183" s="740"/>
      <c r="GH183" s="740"/>
      <c r="GI183" s="740"/>
      <c r="GJ183" s="740"/>
      <c r="GK183" s="740"/>
      <c r="GL183" s="740"/>
      <c r="GM183" s="740"/>
      <c r="GN183" s="740"/>
      <c r="GO183" s="740"/>
      <c r="GP183" s="740"/>
      <c r="GQ183" s="740"/>
      <c r="GR183" s="740"/>
      <c r="GS183" s="740"/>
      <c r="GT183" s="740"/>
      <c r="GU183" s="740"/>
      <c r="GV183" s="740"/>
      <c r="GW183" s="740"/>
    </row>
    <row r="184" spans="1:205" ht="24" customHeight="1" x14ac:dyDescent="0.2">
      <c r="A184" s="2503"/>
      <c r="B184" s="2503"/>
      <c r="C184" s="2503"/>
      <c r="D184" s="2503"/>
      <c r="E184" s="2503"/>
      <c r="F184" s="2503"/>
      <c r="G184" s="2503"/>
      <c r="H184" s="2503"/>
      <c r="I184" s="2503"/>
      <c r="J184" s="2503"/>
      <c r="K184" s="2503"/>
      <c r="L184" s="2503"/>
      <c r="M184" s="2503"/>
      <c r="N184" s="2503"/>
      <c r="O184" s="2503"/>
      <c r="P184" s="2503"/>
      <c r="Q184" s="2503"/>
      <c r="R184" s="2503"/>
      <c r="S184" s="2503"/>
      <c r="T184" s="740"/>
      <c r="U184" s="740"/>
      <c r="V184" s="740"/>
      <c r="W184" s="740"/>
      <c r="X184" s="740"/>
      <c r="Y184" s="740"/>
      <c r="Z184" s="740"/>
      <c r="AA184" s="740"/>
      <c r="AB184" s="740"/>
      <c r="AC184" s="740"/>
      <c r="AD184" s="740"/>
      <c r="AE184" s="740"/>
      <c r="AF184" s="740"/>
      <c r="AG184" s="740"/>
      <c r="AH184" s="740"/>
      <c r="AI184" s="740"/>
      <c r="AJ184" s="740"/>
      <c r="AK184" s="740"/>
      <c r="AL184" s="740"/>
      <c r="AM184" s="740"/>
      <c r="AN184" s="740"/>
      <c r="AO184" s="740"/>
      <c r="AP184" s="740"/>
      <c r="AQ184" s="740"/>
      <c r="AR184" s="740"/>
      <c r="AS184" s="740"/>
      <c r="AT184" s="740"/>
      <c r="AU184" s="740"/>
      <c r="AV184" s="740"/>
      <c r="AW184" s="740"/>
      <c r="AX184" s="740"/>
      <c r="AY184" s="740"/>
      <c r="AZ184" s="740"/>
      <c r="BA184" s="740"/>
      <c r="BB184" s="740"/>
      <c r="BC184" s="740"/>
      <c r="BD184" s="740"/>
      <c r="BE184" s="740"/>
      <c r="BF184" s="740"/>
      <c r="BG184" s="740"/>
      <c r="BH184" s="740"/>
      <c r="BI184" s="740"/>
      <c r="BJ184" s="740"/>
      <c r="BK184" s="740"/>
      <c r="BL184" s="740"/>
      <c r="BM184" s="740"/>
      <c r="BN184" s="740"/>
      <c r="BO184" s="740"/>
      <c r="BP184" s="740"/>
      <c r="BQ184" s="740"/>
      <c r="BR184" s="740"/>
      <c r="BS184" s="740"/>
      <c r="BT184" s="740"/>
      <c r="BU184" s="740"/>
      <c r="BV184" s="740"/>
      <c r="BW184" s="740"/>
      <c r="BX184" s="740"/>
      <c r="BY184" s="740"/>
      <c r="BZ184" s="740"/>
      <c r="CA184" s="740"/>
      <c r="CB184" s="740"/>
      <c r="CC184" s="740"/>
      <c r="CD184" s="740"/>
      <c r="CE184" s="740"/>
      <c r="CF184" s="740"/>
      <c r="CG184" s="740"/>
      <c r="CH184" s="740"/>
      <c r="CI184" s="740"/>
      <c r="CJ184" s="740"/>
      <c r="CK184" s="740"/>
      <c r="CL184" s="740"/>
      <c r="CM184" s="740"/>
      <c r="CN184" s="740"/>
      <c r="CO184" s="740"/>
      <c r="CP184" s="740"/>
      <c r="CQ184" s="740"/>
      <c r="CR184" s="740"/>
      <c r="CS184" s="740"/>
      <c r="CT184" s="740"/>
      <c r="CU184" s="740"/>
      <c r="CV184" s="740"/>
      <c r="CW184" s="740"/>
      <c r="CX184" s="740"/>
      <c r="CY184" s="740"/>
      <c r="CZ184" s="740"/>
      <c r="DA184" s="740"/>
      <c r="DB184" s="740"/>
      <c r="DC184" s="740"/>
      <c r="DD184" s="740"/>
      <c r="DE184" s="740"/>
      <c r="DF184" s="740"/>
      <c r="DG184" s="740"/>
      <c r="DH184" s="740"/>
      <c r="DI184" s="740"/>
      <c r="DJ184" s="740"/>
      <c r="DK184" s="740"/>
      <c r="DL184" s="740"/>
      <c r="DM184" s="740"/>
      <c r="DN184" s="740"/>
      <c r="DO184" s="740"/>
      <c r="DP184" s="740"/>
      <c r="DQ184" s="740"/>
      <c r="DR184" s="740"/>
      <c r="DS184" s="740"/>
      <c r="DT184" s="740"/>
      <c r="DU184" s="740"/>
      <c r="DV184" s="740"/>
      <c r="DW184" s="740"/>
      <c r="DX184" s="740"/>
      <c r="DY184" s="740"/>
      <c r="DZ184" s="740"/>
      <c r="EA184" s="740"/>
      <c r="EB184" s="740"/>
      <c r="EC184" s="740"/>
      <c r="ED184" s="740"/>
      <c r="EE184" s="740"/>
      <c r="EF184" s="740"/>
      <c r="EG184" s="740"/>
      <c r="EH184" s="740"/>
      <c r="EI184" s="740"/>
      <c r="EJ184" s="740"/>
      <c r="EK184" s="740"/>
      <c r="EL184" s="740"/>
      <c r="EM184" s="740"/>
      <c r="EN184" s="740"/>
      <c r="EO184" s="740"/>
      <c r="EP184" s="740"/>
      <c r="EQ184" s="740"/>
      <c r="ER184" s="740"/>
      <c r="ES184" s="740"/>
      <c r="ET184" s="740"/>
      <c r="EU184" s="740"/>
      <c r="EV184" s="740"/>
      <c r="EW184" s="740"/>
      <c r="EX184" s="740"/>
      <c r="EY184" s="740"/>
      <c r="EZ184" s="740"/>
      <c r="FA184" s="740"/>
      <c r="FB184" s="740"/>
      <c r="FC184" s="740"/>
      <c r="FD184" s="740"/>
      <c r="FE184" s="740"/>
      <c r="FF184" s="740"/>
      <c r="FG184" s="740"/>
      <c r="FH184" s="740"/>
      <c r="FI184" s="740"/>
      <c r="FJ184" s="740"/>
      <c r="FK184" s="740"/>
      <c r="FL184" s="740"/>
      <c r="FM184" s="740"/>
      <c r="FN184" s="740"/>
      <c r="FO184" s="740"/>
      <c r="FP184" s="740"/>
      <c r="FQ184" s="740"/>
      <c r="FR184" s="740"/>
      <c r="FS184" s="740"/>
      <c r="FT184" s="740"/>
      <c r="FU184" s="740"/>
      <c r="FV184" s="740"/>
      <c r="FW184" s="740"/>
      <c r="FX184" s="740"/>
      <c r="FY184" s="740"/>
      <c r="FZ184" s="740"/>
      <c r="GA184" s="740"/>
      <c r="GB184" s="740"/>
      <c r="GC184" s="740"/>
      <c r="GD184" s="740"/>
      <c r="GE184" s="740"/>
      <c r="GF184" s="740"/>
      <c r="GG184" s="740"/>
      <c r="GH184" s="740"/>
      <c r="GI184" s="740"/>
      <c r="GJ184" s="740"/>
      <c r="GK184" s="740"/>
      <c r="GL184" s="740"/>
      <c r="GM184" s="740"/>
      <c r="GN184" s="740"/>
      <c r="GO184" s="740"/>
      <c r="GP184" s="740"/>
      <c r="GQ184" s="740"/>
      <c r="GR184" s="740"/>
      <c r="GS184" s="740"/>
      <c r="GT184" s="740"/>
      <c r="GU184" s="740"/>
      <c r="GV184" s="740"/>
      <c r="GW184" s="740"/>
    </row>
    <row r="185" spans="1:205" ht="24" customHeight="1" x14ac:dyDescent="0.2">
      <c r="R185" s="740"/>
      <c r="S185" s="740"/>
      <c r="T185" s="740"/>
      <c r="U185" s="740"/>
      <c r="V185" s="740"/>
      <c r="W185" s="740"/>
      <c r="X185" s="740"/>
      <c r="Y185" s="740"/>
      <c r="Z185" s="740"/>
      <c r="AA185" s="740"/>
      <c r="AB185" s="740"/>
      <c r="AC185" s="740"/>
      <c r="AD185" s="740"/>
      <c r="AE185" s="740"/>
      <c r="AF185" s="740"/>
      <c r="AG185" s="740"/>
      <c r="AH185" s="740"/>
      <c r="AI185" s="740"/>
      <c r="AJ185" s="740"/>
      <c r="AK185" s="740"/>
      <c r="AL185" s="740"/>
      <c r="AM185" s="740"/>
      <c r="AN185" s="740"/>
      <c r="AO185" s="740"/>
      <c r="AP185" s="740"/>
      <c r="AQ185" s="740"/>
      <c r="AR185" s="740"/>
      <c r="AS185" s="740"/>
      <c r="AT185" s="740"/>
      <c r="AU185" s="740"/>
      <c r="AV185" s="740"/>
      <c r="AW185" s="740"/>
      <c r="AX185" s="740"/>
      <c r="AY185" s="740"/>
      <c r="AZ185" s="740"/>
      <c r="BA185" s="740"/>
      <c r="BB185" s="740"/>
      <c r="BC185" s="740"/>
      <c r="BD185" s="740"/>
      <c r="BE185" s="740"/>
      <c r="BF185" s="740"/>
      <c r="BG185" s="740"/>
      <c r="BH185" s="740"/>
      <c r="BI185" s="740"/>
      <c r="BJ185" s="740"/>
      <c r="BK185" s="740"/>
      <c r="BL185" s="740"/>
      <c r="BM185" s="740"/>
      <c r="BN185" s="740"/>
      <c r="BO185" s="740"/>
      <c r="BP185" s="740"/>
      <c r="BQ185" s="740"/>
      <c r="BR185" s="740"/>
      <c r="BS185" s="740"/>
      <c r="BT185" s="740"/>
      <c r="BU185" s="740"/>
      <c r="BV185" s="740"/>
      <c r="BW185" s="740"/>
      <c r="BX185" s="740"/>
      <c r="BY185" s="740"/>
      <c r="BZ185" s="740"/>
      <c r="CA185" s="740"/>
      <c r="CB185" s="740"/>
      <c r="CC185" s="740"/>
      <c r="CD185" s="740"/>
      <c r="CE185" s="740"/>
      <c r="CF185" s="740"/>
      <c r="CG185" s="740"/>
      <c r="CH185" s="740"/>
      <c r="CI185" s="740"/>
      <c r="CJ185" s="740"/>
      <c r="CK185" s="740"/>
      <c r="CL185" s="740"/>
      <c r="CM185" s="740"/>
      <c r="CN185" s="740"/>
      <c r="CO185" s="740"/>
      <c r="CP185" s="740"/>
      <c r="CQ185" s="740"/>
      <c r="CR185" s="740"/>
      <c r="CS185" s="740"/>
      <c r="CT185" s="740"/>
      <c r="CU185" s="740"/>
      <c r="CV185" s="740"/>
      <c r="CW185" s="740"/>
      <c r="CX185" s="740"/>
      <c r="CY185" s="740"/>
      <c r="CZ185" s="740"/>
      <c r="DA185" s="740"/>
      <c r="DB185" s="740"/>
      <c r="DC185" s="740"/>
      <c r="DD185" s="740"/>
      <c r="DE185" s="740"/>
      <c r="DF185" s="740"/>
      <c r="DG185" s="740"/>
      <c r="DH185" s="740"/>
      <c r="DI185" s="740"/>
      <c r="DJ185" s="740"/>
      <c r="DK185" s="740"/>
      <c r="DL185" s="740"/>
      <c r="DM185" s="740"/>
      <c r="DN185" s="740"/>
      <c r="DO185" s="740"/>
      <c r="DP185" s="740"/>
      <c r="DQ185" s="740"/>
      <c r="DR185" s="740"/>
      <c r="DS185" s="740"/>
      <c r="DT185" s="740"/>
      <c r="DU185" s="740"/>
      <c r="DV185" s="740"/>
      <c r="DW185" s="740"/>
      <c r="DX185" s="740"/>
      <c r="DY185" s="740"/>
      <c r="DZ185" s="740"/>
      <c r="EA185" s="740"/>
      <c r="EB185" s="740"/>
      <c r="EC185" s="740"/>
      <c r="ED185" s="740"/>
      <c r="EE185" s="740"/>
      <c r="EF185" s="740"/>
      <c r="EG185" s="740"/>
      <c r="EH185" s="740"/>
      <c r="EI185" s="740"/>
      <c r="EJ185" s="740"/>
      <c r="EK185" s="740"/>
      <c r="EL185" s="740"/>
      <c r="EM185" s="740"/>
      <c r="EN185" s="740"/>
      <c r="EO185" s="740"/>
      <c r="EP185" s="740"/>
      <c r="EQ185" s="740"/>
      <c r="ER185" s="740"/>
      <c r="ES185" s="740"/>
      <c r="ET185" s="740"/>
      <c r="EU185" s="740"/>
      <c r="EV185" s="740"/>
      <c r="EW185" s="740"/>
      <c r="EX185" s="740"/>
      <c r="EY185" s="740"/>
      <c r="EZ185" s="740"/>
      <c r="FA185" s="740"/>
      <c r="FB185" s="740"/>
      <c r="FC185" s="740"/>
      <c r="FD185" s="740"/>
      <c r="FE185" s="740"/>
      <c r="FF185" s="740"/>
      <c r="FG185" s="740"/>
      <c r="FH185" s="740"/>
      <c r="FI185" s="740"/>
      <c r="FJ185" s="740"/>
      <c r="FK185" s="740"/>
      <c r="FL185" s="740"/>
      <c r="FM185" s="740"/>
      <c r="FN185" s="740"/>
      <c r="FO185" s="740"/>
      <c r="FP185" s="740"/>
      <c r="FQ185" s="740"/>
      <c r="FR185" s="740"/>
      <c r="FS185" s="740"/>
      <c r="FT185" s="740"/>
      <c r="FU185" s="740"/>
      <c r="FV185" s="740"/>
      <c r="FW185" s="740"/>
      <c r="FX185" s="740"/>
      <c r="FY185" s="740"/>
      <c r="FZ185" s="740"/>
      <c r="GA185" s="740"/>
      <c r="GB185" s="740"/>
      <c r="GC185" s="740"/>
      <c r="GD185" s="740"/>
      <c r="GE185" s="740"/>
      <c r="GF185" s="740"/>
      <c r="GG185" s="740"/>
      <c r="GH185" s="740"/>
      <c r="GI185" s="740"/>
      <c r="GJ185" s="740"/>
      <c r="GK185" s="740"/>
      <c r="GL185" s="740"/>
      <c r="GM185" s="740"/>
      <c r="GN185" s="740"/>
      <c r="GO185" s="740"/>
      <c r="GP185" s="740"/>
      <c r="GQ185" s="740"/>
      <c r="GR185" s="740"/>
      <c r="GS185" s="740"/>
      <c r="GT185" s="740"/>
      <c r="GU185" s="740"/>
      <c r="GV185" s="740"/>
      <c r="GW185" s="740"/>
    </row>
    <row r="186" spans="1:205" ht="24" customHeight="1" x14ac:dyDescent="0.2">
      <c r="R186" s="740"/>
      <c r="S186" s="740"/>
      <c r="T186" s="740"/>
      <c r="U186" s="740"/>
      <c r="V186" s="740"/>
      <c r="W186" s="740"/>
      <c r="X186" s="740"/>
      <c r="Y186" s="740"/>
      <c r="Z186" s="740"/>
      <c r="AA186" s="740"/>
      <c r="AB186" s="740"/>
      <c r="AC186" s="740"/>
      <c r="AD186" s="740"/>
      <c r="AE186" s="740"/>
      <c r="AF186" s="740"/>
      <c r="AG186" s="740"/>
      <c r="AH186" s="740"/>
      <c r="AI186" s="740"/>
      <c r="AJ186" s="740"/>
      <c r="AK186" s="740"/>
      <c r="AL186" s="740"/>
      <c r="AM186" s="740"/>
      <c r="AN186" s="740"/>
      <c r="AO186" s="740"/>
      <c r="AP186" s="740"/>
      <c r="AQ186" s="740"/>
      <c r="AR186" s="740"/>
      <c r="AS186" s="740"/>
      <c r="AT186" s="740"/>
      <c r="AU186" s="740"/>
      <c r="AV186" s="740"/>
      <c r="AW186" s="740"/>
      <c r="AX186" s="740"/>
      <c r="AY186" s="740"/>
      <c r="AZ186" s="740"/>
      <c r="BA186" s="740"/>
      <c r="BB186" s="740"/>
      <c r="BC186" s="740"/>
      <c r="BD186" s="740"/>
      <c r="BE186" s="740"/>
      <c r="BF186" s="740"/>
      <c r="BG186" s="740"/>
      <c r="BH186" s="740"/>
      <c r="BI186" s="740"/>
      <c r="BJ186" s="740"/>
      <c r="BK186" s="740"/>
      <c r="BL186" s="740"/>
      <c r="BM186" s="740"/>
      <c r="BN186" s="740"/>
      <c r="BO186" s="740"/>
      <c r="BP186" s="740"/>
      <c r="BQ186" s="740"/>
      <c r="BR186" s="740"/>
      <c r="BS186" s="740"/>
      <c r="BT186" s="740"/>
      <c r="BU186" s="740"/>
      <c r="BV186" s="740"/>
      <c r="BW186" s="740"/>
      <c r="BX186" s="740"/>
      <c r="BY186" s="740"/>
      <c r="BZ186" s="740"/>
      <c r="CA186" s="740"/>
      <c r="CB186" s="740"/>
      <c r="CC186" s="740"/>
      <c r="CD186" s="740"/>
      <c r="CE186" s="740"/>
      <c r="CF186" s="740"/>
      <c r="CG186" s="740"/>
      <c r="CH186" s="740"/>
      <c r="CI186" s="740"/>
      <c r="CJ186" s="740"/>
      <c r="CK186" s="740"/>
      <c r="CL186" s="740"/>
      <c r="CM186" s="740"/>
      <c r="CN186" s="740"/>
      <c r="CO186" s="740"/>
      <c r="CP186" s="740"/>
      <c r="CQ186" s="740"/>
      <c r="CR186" s="740"/>
      <c r="CS186" s="740"/>
      <c r="CT186" s="740"/>
      <c r="CU186" s="740"/>
      <c r="CV186" s="740"/>
      <c r="CW186" s="740"/>
      <c r="CX186" s="740"/>
      <c r="CY186" s="740"/>
      <c r="CZ186" s="740"/>
      <c r="DA186" s="740"/>
      <c r="DB186" s="740"/>
      <c r="DC186" s="740"/>
      <c r="DD186" s="740"/>
      <c r="DE186" s="740"/>
      <c r="DF186" s="740"/>
      <c r="DG186" s="740"/>
      <c r="DH186" s="740"/>
      <c r="DI186" s="740"/>
      <c r="DJ186" s="740"/>
      <c r="DK186" s="740"/>
      <c r="DL186" s="740"/>
      <c r="DM186" s="740"/>
      <c r="DN186" s="740"/>
      <c r="DO186" s="740"/>
      <c r="DP186" s="740"/>
      <c r="DQ186" s="740"/>
      <c r="DR186" s="740"/>
      <c r="DS186" s="740"/>
      <c r="DT186" s="740"/>
      <c r="DU186" s="740"/>
      <c r="DV186" s="740"/>
      <c r="DW186" s="740"/>
      <c r="DX186" s="740"/>
      <c r="DY186" s="740"/>
      <c r="DZ186" s="740"/>
      <c r="EA186" s="740"/>
      <c r="EB186" s="740"/>
      <c r="EC186" s="740"/>
      <c r="ED186" s="740"/>
      <c r="EE186" s="740"/>
      <c r="EF186" s="740"/>
      <c r="EG186" s="740"/>
      <c r="EH186" s="740"/>
      <c r="EI186" s="740"/>
      <c r="EJ186" s="740"/>
      <c r="EK186" s="740"/>
      <c r="EL186" s="740"/>
      <c r="EM186" s="740"/>
      <c r="EN186" s="740"/>
      <c r="EO186" s="740"/>
      <c r="EP186" s="740"/>
      <c r="EQ186" s="740"/>
      <c r="ER186" s="740"/>
      <c r="ES186" s="740"/>
      <c r="ET186" s="740"/>
      <c r="EU186" s="740"/>
      <c r="EV186" s="740"/>
      <c r="EW186" s="740"/>
      <c r="EX186" s="740"/>
      <c r="EY186" s="740"/>
      <c r="EZ186" s="740"/>
      <c r="FA186" s="740"/>
      <c r="FB186" s="740"/>
      <c r="FC186" s="740"/>
      <c r="FD186" s="740"/>
      <c r="FE186" s="740"/>
      <c r="FF186" s="740"/>
      <c r="FG186" s="740"/>
      <c r="FH186" s="740"/>
      <c r="FI186" s="740"/>
      <c r="FJ186" s="740"/>
      <c r="FK186" s="740"/>
      <c r="FL186" s="740"/>
      <c r="FM186" s="740"/>
      <c r="FN186" s="740"/>
      <c r="FO186" s="740"/>
      <c r="FP186" s="740"/>
      <c r="FQ186" s="740"/>
      <c r="FR186" s="740"/>
      <c r="FS186" s="740"/>
      <c r="FT186" s="740"/>
      <c r="FU186" s="740"/>
      <c r="FV186" s="740"/>
      <c r="FW186" s="740"/>
      <c r="FX186" s="740"/>
      <c r="FY186" s="740"/>
      <c r="FZ186" s="740"/>
      <c r="GA186" s="740"/>
      <c r="GB186" s="740"/>
      <c r="GC186" s="740"/>
      <c r="GD186" s="740"/>
      <c r="GE186" s="740"/>
      <c r="GF186" s="740"/>
      <c r="GG186" s="740"/>
      <c r="GH186" s="740"/>
      <c r="GI186" s="740"/>
      <c r="GJ186" s="740"/>
      <c r="GK186" s="740"/>
      <c r="GL186" s="740"/>
      <c r="GM186" s="740"/>
      <c r="GN186" s="740"/>
      <c r="GO186" s="740"/>
      <c r="GP186" s="740"/>
      <c r="GQ186" s="740"/>
      <c r="GR186" s="740"/>
      <c r="GS186" s="740"/>
      <c r="GT186" s="740"/>
      <c r="GU186" s="740"/>
      <c r="GV186" s="740"/>
      <c r="GW186" s="740"/>
    </row>
    <row r="187" spans="1:205" ht="24" customHeight="1" x14ac:dyDescent="0.2">
      <c r="R187" s="740"/>
      <c r="S187" s="740"/>
      <c r="T187" s="740"/>
      <c r="U187" s="740"/>
      <c r="V187" s="740"/>
      <c r="W187" s="740"/>
      <c r="X187" s="740"/>
      <c r="Y187" s="740"/>
      <c r="Z187" s="740"/>
      <c r="AA187" s="740"/>
      <c r="AB187" s="740"/>
      <c r="AC187" s="740"/>
      <c r="AD187" s="740"/>
      <c r="AE187" s="740"/>
      <c r="AF187" s="740"/>
      <c r="AG187" s="740"/>
      <c r="AH187" s="740"/>
      <c r="AI187" s="740"/>
      <c r="AJ187" s="740"/>
      <c r="AK187" s="740"/>
      <c r="AL187" s="740"/>
      <c r="AM187" s="740"/>
      <c r="AN187" s="740"/>
      <c r="AO187" s="740"/>
      <c r="AP187" s="740"/>
      <c r="AQ187" s="740"/>
      <c r="AR187" s="740"/>
      <c r="AS187" s="740"/>
      <c r="AT187" s="740"/>
      <c r="AU187" s="740"/>
      <c r="AV187" s="740"/>
      <c r="AW187" s="740"/>
      <c r="AX187" s="740"/>
      <c r="AY187" s="740"/>
      <c r="AZ187" s="740"/>
      <c r="BA187" s="740"/>
      <c r="BB187" s="740"/>
      <c r="BC187" s="740"/>
      <c r="BD187" s="740"/>
      <c r="BE187" s="740"/>
      <c r="BF187" s="740"/>
      <c r="BG187" s="740"/>
      <c r="BH187" s="740"/>
      <c r="BI187" s="740"/>
      <c r="BJ187" s="740"/>
      <c r="BK187" s="740"/>
      <c r="BL187" s="740"/>
      <c r="BM187" s="740"/>
      <c r="BN187" s="740"/>
      <c r="BO187" s="740"/>
      <c r="BP187" s="740"/>
      <c r="BQ187" s="740"/>
      <c r="BR187" s="740"/>
      <c r="BS187" s="740"/>
      <c r="BT187" s="740"/>
      <c r="BU187" s="740"/>
      <c r="BV187" s="740"/>
      <c r="BW187" s="740"/>
      <c r="BX187" s="740"/>
      <c r="BY187" s="740"/>
      <c r="BZ187" s="740"/>
      <c r="CA187" s="740"/>
      <c r="CB187" s="740"/>
      <c r="CC187" s="740"/>
      <c r="CD187" s="740"/>
      <c r="CE187" s="740"/>
      <c r="CF187" s="740"/>
      <c r="CG187" s="740"/>
      <c r="CH187" s="740"/>
      <c r="CI187" s="740"/>
      <c r="CJ187" s="740"/>
      <c r="CK187" s="740"/>
      <c r="CL187" s="740"/>
      <c r="CM187" s="740"/>
      <c r="CN187" s="740"/>
      <c r="CO187" s="740"/>
      <c r="CP187" s="740"/>
      <c r="CQ187" s="740"/>
      <c r="CR187" s="740"/>
      <c r="CS187" s="740"/>
      <c r="CT187" s="740"/>
      <c r="CU187" s="740"/>
      <c r="CV187" s="740"/>
      <c r="CW187" s="740"/>
      <c r="CX187" s="740"/>
      <c r="CY187" s="740"/>
      <c r="CZ187" s="740"/>
      <c r="DA187" s="740"/>
      <c r="DB187" s="740"/>
      <c r="DC187" s="740"/>
      <c r="DD187" s="740"/>
      <c r="DE187" s="740"/>
      <c r="DF187" s="740"/>
      <c r="DG187" s="740"/>
      <c r="DH187" s="740"/>
      <c r="DI187" s="740"/>
      <c r="DJ187" s="740"/>
      <c r="DK187" s="740"/>
      <c r="DL187" s="740"/>
      <c r="DM187" s="740"/>
      <c r="DN187" s="740"/>
      <c r="DO187" s="740"/>
      <c r="DP187" s="740"/>
      <c r="DQ187" s="740"/>
      <c r="DR187" s="740"/>
      <c r="DS187" s="740"/>
      <c r="DT187" s="740"/>
      <c r="DU187" s="740"/>
      <c r="DV187" s="740"/>
      <c r="DW187" s="740"/>
      <c r="DX187" s="740"/>
      <c r="DY187" s="740"/>
      <c r="DZ187" s="740"/>
      <c r="EA187" s="740"/>
      <c r="EB187" s="740"/>
      <c r="EC187" s="740"/>
      <c r="ED187" s="740"/>
      <c r="EE187" s="740"/>
      <c r="EF187" s="740"/>
      <c r="EG187" s="740"/>
      <c r="EH187" s="740"/>
      <c r="EI187" s="740"/>
      <c r="EJ187" s="740"/>
      <c r="EK187" s="740"/>
      <c r="EL187" s="740"/>
      <c r="EM187" s="740"/>
      <c r="EN187" s="740"/>
      <c r="EO187" s="740"/>
      <c r="EP187" s="740"/>
      <c r="EQ187" s="740"/>
      <c r="ER187" s="740"/>
      <c r="ES187" s="740"/>
      <c r="ET187" s="740"/>
      <c r="EU187" s="740"/>
      <c r="EV187" s="740"/>
      <c r="EW187" s="740"/>
      <c r="EX187" s="740"/>
      <c r="EY187" s="740"/>
      <c r="EZ187" s="740"/>
      <c r="FA187" s="740"/>
      <c r="FB187" s="740"/>
      <c r="FC187" s="740"/>
      <c r="FD187" s="740"/>
      <c r="FE187" s="740"/>
      <c r="FF187" s="740"/>
      <c r="FG187" s="740"/>
      <c r="FH187" s="740"/>
      <c r="FI187" s="740"/>
      <c r="FJ187" s="740"/>
      <c r="FK187" s="740"/>
      <c r="FL187" s="740"/>
      <c r="FM187" s="740"/>
      <c r="FN187" s="740"/>
      <c r="FO187" s="740"/>
      <c r="FP187" s="740"/>
      <c r="FQ187" s="740"/>
      <c r="FR187" s="740"/>
      <c r="FS187" s="740"/>
      <c r="FT187" s="740"/>
      <c r="FU187" s="740"/>
      <c r="FV187" s="740"/>
      <c r="FW187" s="740"/>
      <c r="FX187" s="740"/>
      <c r="FY187" s="740"/>
      <c r="FZ187" s="740"/>
      <c r="GA187" s="740"/>
      <c r="GB187" s="740"/>
      <c r="GC187" s="740"/>
      <c r="GD187" s="740"/>
      <c r="GE187" s="740"/>
      <c r="GF187" s="740"/>
      <c r="GG187" s="740"/>
      <c r="GH187" s="740"/>
      <c r="GI187" s="740"/>
      <c r="GJ187" s="740"/>
      <c r="GK187" s="740"/>
      <c r="GL187" s="740"/>
      <c r="GM187" s="740"/>
      <c r="GN187" s="740"/>
      <c r="GO187" s="740"/>
      <c r="GP187" s="740"/>
      <c r="GQ187" s="740"/>
      <c r="GR187" s="740"/>
      <c r="GS187" s="740"/>
      <c r="GT187" s="740"/>
      <c r="GU187" s="740"/>
      <c r="GV187" s="740"/>
      <c r="GW187" s="740"/>
    </row>
    <row r="188" spans="1:205" ht="24" customHeight="1" x14ac:dyDescent="0.2">
      <c r="E188" s="2523" t="s">
        <v>334</v>
      </c>
      <c r="F188"/>
      <c r="H188" s="2523" t="s">
        <v>335</v>
      </c>
      <c r="R188" s="740"/>
      <c r="S188" s="740"/>
      <c r="T188" s="740"/>
      <c r="U188" s="740"/>
      <c r="V188" s="740"/>
      <c r="W188" s="740"/>
      <c r="X188" s="740"/>
      <c r="Y188" s="740"/>
      <c r="Z188" s="740"/>
      <c r="AA188" s="740"/>
      <c r="AB188" s="740"/>
      <c r="AC188" s="740"/>
      <c r="AD188" s="740"/>
      <c r="AE188" s="740"/>
      <c r="AF188" s="740"/>
      <c r="AG188" s="740"/>
      <c r="AH188" s="740"/>
      <c r="AI188" s="740"/>
      <c r="AJ188" s="740"/>
      <c r="AK188" s="740"/>
      <c r="AL188" s="740"/>
      <c r="AM188" s="740"/>
      <c r="AN188" s="740"/>
      <c r="AO188" s="740"/>
      <c r="AP188" s="740"/>
      <c r="AQ188" s="740"/>
      <c r="AR188" s="740"/>
      <c r="AS188" s="740"/>
      <c r="AT188" s="740"/>
      <c r="AU188" s="740"/>
      <c r="AV188" s="740"/>
      <c r="AW188" s="740"/>
      <c r="AX188" s="740"/>
      <c r="AY188" s="740"/>
      <c r="AZ188" s="740"/>
      <c r="BA188" s="740"/>
      <c r="BB188" s="740"/>
      <c r="BC188" s="740"/>
      <c r="BD188" s="740"/>
      <c r="BE188" s="740"/>
      <c r="BF188" s="740"/>
      <c r="BG188" s="740"/>
      <c r="BH188" s="740"/>
      <c r="BI188" s="740"/>
      <c r="BJ188" s="740"/>
      <c r="BK188" s="740"/>
      <c r="BL188" s="740"/>
      <c r="BM188" s="740"/>
      <c r="BN188" s="740"/>
      <c r="BO188" s="740"/>
      <c r="BP188" s="740"/>
      <c r="BQ188" s="740"/>
      <c r="BR188" s="740"/>
      <c r="BS188" s="740"/>
      <c r="BT188" s="740"/>
      <c r="BU188" s="740"/>
      <c r="BV188" s="740"/>
      <c r="BW188" s="740"/>
      <c r="BX188" s="740"/>
      <c r="BY188" s="740"/>
      <c r="BZ188" s="740"/>
      <c r="CA188" s="740"/>
      <c r="CB188" s="740"/>
      <c r="CC188" s="740"/>
      <c r="CD188" s="740"/>
      <c r="CE188" s="740"/>
      <c r="CF188" s="740"/>
      <c r="CG188" s="740"/>
      <c r="CH188" s="740"/>
      <c r="CI188" s="740"/>
      <c r="CJ188" s="740"/>
      <c r="CK188" s="740"/>
      <c r="CL188" s="740"/>
      <c r="CM188" s="740"/>
      <c r="CN188" s="740"/>
      <c r="CO188" s="740"/>
      <c r="CP188" s="740"/>
      <c r="CQ188" s="740"/>
      <c r="CR188" s="740"/>
      <c r="CS188" s="740"/>
      <c r="CT188" s="740"/>
      <c r="CU188" s="740"/>
      <c r="CV188" s="740"/>
      <c r="CW188" s="740"/>
      <c r="CX188" s="740"/>
      <c r="CY188" s="740"/>
      <c r="CZ188" s="740"/>
      <c r="DA188" s="740"/>
      <c r="DB188" s="740"/>
      <c r="DC188" s="740"/>
      <c r="DD188" s="740"/>
      <c r="DE188" s="740"/>
      <c r="DF188" s="740"/>
      <c r="DG188" s="740"/>
      <c r="DH188" s="740"/>
      <c r="DI188" s="740"/>
      <c r="DJ188" s="740"/>
      <c r="DK188" s="740"/>
      <c r="DL188" s="740"/>
      <c r="DM188" s="740"/>
      <c r="DN188" s="740"/>
      <c r="DO188" s="740"/>
      <c r="DP188" s="740"/>
      <c r="DQ188" s="740"/>
      <c r="DR188" s="740"/>
      <c r="DS188" s="740"/>
      <c r="DT188" s="740"/>
      <c r="DU188" s="740"/>
      <c r="DV188" s="740"/>
      <c r="DW188" s="740"/>
      <c r="DX188" s="740"/>
      <c r="DY188" s="740"/>
      <c r="DZ188" s="740"/>
      <c r="EA188" s="740"/>
      <c r="EB188" s="740"/>
      <c r="EC188" s="740"/>
      <c r="ED188" s="740"/>
      <c r="EE188" s="740"/>
      <c r="EF188" s="740"/>
      <c r="EG188" s="740"/>
      <c r="EH188" s="740"/>
      <c r="EI188" s="740"/>
      <c r="EJ188" s="740"/>
      <c r="EK188" s="740"/>
      <c r="EL188" s="740"/>
      <c r="EM188" s="740"/>
      <c r="EN188" s="740"/>
      <c r="EO188" s="740"/>
      <c r="EP188" s="740"/>
      <c r="EQ188" s="740"/>
      <c r="ER188" s="740"/>
      <c r="ES188" s="740"/>
      <c r="ET188" s="740"/>
      <c r="EU188" s="740"/>
      <c r="EV188" s="740"/>
      <c r="EW188" s="740"/>
      <c r="EX188" s="740"/>
      <c r="EY188" s="740"/>
      <c r="EZ188" s="740"/>
      <c r="FA188" s="740"/>
      <c r="FB188" s="740"/>
      <c r="FC188" s="740"/>
      <c r="FD188" s="740"/>
      <c r="FE188" s="740"/>
      <c r="FF188" s="740"/>
      <c r="FG188" s="740"/>
      <c r="FH188" s="740"/>
      <c r="FI188" s="740"/>
      <c r="FJ188" s="740"/>
      <c r="FK188" s="740"/>
      <c r="FL188" s="740"/>
      <c r="FM188" s="740"/>
      <c r="FN188" s="740"/>
      <c r="FO188" s="740"/>
      <c r="FP188" s="740"/>
      <c r="FQ188" s="740"/>
      <c r="FR188" s="740"/>
      <c r="FS188" s="740"/>
      <c r="FT188" s="740"/>
      <c r="FU188" s="740"/>
      <c r="FV188" s="740"/>
      <c r="FW188" s="740"/>
      <c r="FX188" s="740"/>
      <c r="FY188" s="740"/>
      <c r="FZ188" s="740"/>
      <c r="GA188" s="740"/>
      <c r="GB188" s="740"/>
      <c r="GC188" s="740"/>
      <c r="GD188" s="740"/>
      <c r="GE188" s="740"/>
      <c r="GF188" s="740"/>
      <c r="GG188" s="740"/>
      <c r="GH188" s="740"/>
      <c r="GI188" s="740"/>
      <c r="GJ188" s="740"/>
      <c r="GK188" s="740"/>
      <c r="GL188" s="740"/>
      <c r="GM188" s="740"/>
      <c r="GN188" s="740"/>
      <c r="GO188" s="740"/>
      <c r="GP188" s="740"/>
      <c r="GQ188" s="740"/>
      <c r="GR188" s="740"/>
      <c r="GS188" s="740"/>
      <c r="GT188" s="740"/>
      <c r="GU188" s="740"/>
      <c r="GV188" s="740"/>
      <c r="GW188" s="740"/>
    </row>
    <row r="189" spans="1:205" ht="24" customHeight="1" x14ac:dyDescent="0.2">
      <c r="E189" s="189">
        <v>24</v>
      </c>
      <c r="G189" s="189">
        <v>58</v>
      </c>
      <c r="H189" s="189">
        <v>43307</v>
      </c>
      <c r="J189" s="2897">
        <f>($H$195-H189)/H189</f>
        <v>0.14311774078093611</v>
      </c>
      <c r="R189" s="740"/>
      <c r="S189" s="740"/>
      <c r="T189" s="740"/>
      <c r="U189" s="740"/>
      <c r="V189" s="740"/>
      <c r="W189" s="740"/>
      <c r="X189" s="740"/>
      <c r="Y189" s="740"/>
      <c r="Z189" s="740"/>
      <c r="AA189" s="740"/>
      <c r="AB189" s="740"/>
      <c r="AC189" s="740"/>
      <c r="AD189" s="740"/>
      <c r="AE189" s="740"/>
      <c r="AF189" s="740"/>
      <c r="AG189" s="740"/>
      <c r="AH189" s="740"/>
      <c r="AI189" s="740"/>
      <c r="AJ189" s="740"/>
      <c r="AK189" s="740"/>
      <c r="AL189" s="740"/>
      <c r="AM189" s="740"/>
      <c r="AN189" s="740"/>
      <c r="AO189" s="740"/>
      <c r="AP189" s="740"/>
      <c r="AQ189" s="740"/>
      <c r="AR189" s="740"/>
      <c r="AS189" s="740"/>
      <c r="AT189" s="740"/>
      <c r="AU189" s="740"/>
      <c r="AV189" s="740"/>
      <c r="AW189" s="740"/>
      <c r="AX189" s="740"/>
      <c r="AY189" s="740"/>
      <c r="AZ189" s="740"/>
      <c r="BA189" s="740"/>
      <c r="BB189" s="740"/>
      <c r="BC189" s="740"/>
      <c r="BD189" s="740"/>
      <c r="BE189" s="740"/>
      <c r="BF189" s="740"/>
      <c r="BG189" s="740"/>
      <c r="BH189" s="740"/>
      <c r="BI189" s="740"/>
      <c r="BJ189" s="740"/>
      <c r="BK189" s="740"/>
      <c r="BL189" s="740"/>
      <c r="BM189" s="740"/>
      <c r="BN189" s="740"/>
      <c r="BO189" s="740"/>
      <c r="BP189" s="740"/>
      <c r="BQ189" s="740"/>
      <c r="BR189" s="740"/>
      <c r="BS189" s="740"/>
      <c r="BT189" s="740"/>
      <c r="BU189" s="740"/>
      <c r="BV189" s="740"/>
      <c r="BW189" s="740"/>
      <c r="BX189" s="740"/>
      <c r="BY189" s="740"/>
      <c r="BZ189" s="740"/>
      <c r="CA189" s="740"/>
      <c r="CB189" s="740"/>
      <c r="CC189" s="740"/>
      <c r="CD189" s="740"/>
      <c r="CE189" s="740"/>
      <c r="CF189" s="740"/>
      <c r="CG189" s="740"/>
      <c r="CH189" s="740"/>
      <c r="CI189" s="740"/>
      <c r="CJ189" s="740"/>
      <c r="CK189" s="740"/>
      <c r="CL189" s="740"/>
      <c r="CM189" s="740"/>
      <c r="CN189" s="740"/>
      <c r="CO189" s="740"/>
      <c r="CP189" s="740"/>
      <c r="CQ189" s="740"/>
      <c r="CR189" s="740"/>
      <c r="CS189" s="740"/>
      <c r="CT189" s="740"/>
      <c r="CU189" s="740"/>
      <c r="CV189" s="740"/>
      <c r="CW189" s="740"/>
      <c r="CX189" s="740"/>
      <c r="CY189" s="740"/>
      <c r="CZ189" s="740"/>
      <c r="DA189" s="740"/>
      <c r="DB189" s="740"/>
      <c r="DC189" s="740"/>
      <c r="DD189" s="740"/>
      <c r="DE189" s="740"/>
      <c r="DF189" s="740"/>
      <c r="DG189" s="740"/>
      <c r="DH189" s="740"/>
      <c r="DI189" s="740"/>
      <c r="DJ189" s="740"/>
      <c r="DK189" s="740"/>
      <c r="DL189" s="740"/>
      <c r="DM189" s="740"/>
      <c r="DN189" s="740"/>
      <c r="DO189" s="740"/>
      <c r="DP189" s="740"/>
      <c r="DQ189" s="740"/>
      <c r="DR189" s="740"/>
      <c r="DS189" s="740"/>
      <c r="DT189" s="740"/>
      <c r="DU189" s="740"/>
      <c r="DV189" s="740"/>
      <c r="DW189" s="740"/>
      <c r="DX189" s="740"/>
      <c r="DY189" s="740"/>
      <c r="DZ189" s="740"/>
      <c r="EA189" s="740"/>
      <c r="EB189" s="740"/>
      <c r="EC189" s="740"/>
      <c r="ED189" s="740"/>
      <c r="EE189" s="740"/>
      <c r="EF189" s="740"/>
      <c r="EG189" s="740"/>
      <c r="EH189" s="740"/>
      <c r="EI189" s="740"/>
      <c r="EJ189" s="740"/>
      <c r="EK189" s="740"/>
      <c r="EL189" s="740"/>
      <c r="EM189" s="740"/>
      <c r="EN189" s="740"/>
      <c r="EO189" s="740"/>
      <c r="EP189" s="740"/>
      <c r="EQ189" s="740"/>
      <c r="ER189" s="740"/>
      <c r="ES189" s="740"/>
      <c r="ET189" s="740"/>
      <c r="EU189" s="740"/>
      <c r="EV189" s="740"/>
      <c r="EW189" s="740"/>
      <c r="EX189" s="740"/>
      <c r="EY189" s="740"/>
      <c r="EZ189" s="740"/>
      <c r="FA189" s="740"/>
      <c r="FB189" s="740"/>
      <c r="FC189" s="740"/>
      <c r="FD189" s="740"/>
      <c r="FE189" s="740"/>
      <c r="FF189" s="740"/>
      <c r="FG189" s="740"/>
      <c r="FH189" s="740"/>
      <c r="FI189" s="740"/>
      <c r="FJ189" s="740"/>
      <c r="FK189" s="740"/>
      <c r="FL189" s="740"/>
      <c r="FM189" s="740"/>
      <c r="FN189" s="740"/>
      <c r="FO189" s="740"/>
      <c r="FP189" s="740"/>
      <c r="FQ189" s="740"/>
      <c r="FR189" s="740"/>
      <c r="FS189" s="740"/>
      <c r="FT189" s="740"/>
      <c r="FU189" s="740"/>
      <c r="FV189" s="740"/>
      <c r="FW189" s="740"/>
      <c r="FX189" s="740"/>
      <c r="FY189" s="740"/>
      <c r="FZ189" s="740"/>
      <c r="GA189" s="740"/>
      <c r="GB189" s="740"/>
      <c r="GC189" s="740"/>
      <c r="GD189" s="740"/>
      <c r="GE189" s="740"/>
      <c r="GF189" s="740"/>
      <c r="GG189" s="740"/>
      <c r="GH189" s="740"/>
      <c r="GI189" s="740"/>
      <c r="GJ189" s="740"/>
      <c r="GK189" s="740"/>
      <c r="GL189" s="740"/>
      <c r="GM189" s="740"/>
      <c r="GN189" s="740"/>
      <c r="GO189" s="740"/>
      <c r="GP189" s="740"/>
      <c r="GQ189" s="740"/>
      <c r="GR189" s="740"/>
      <c r="GS189" s="740"/>
      <c r="GT189" s="740"/>
      <c r="GU189" s="740"/>
      <c r="GV189" s="740"/>
      <c r="GW189" s="740"/>
    </row>
    <row r="190" spans="1:205" ht="24" customHeight="1" x14ac:dyDescent="0.2">
      <c r="E190" s="189">
        <v>25</v>
      </c>
      <c r="G190" s="189">
        <v>56.9</v>
      </c>
      <c r="H190" s="189">
        <v>44360</v>
      </c>
      <c r="J190" s="2897">
        <f t="shared" ref="J190:J195" si="14">($H$195-H190)/H190</f>
        <v>0.11598286744815149</v>
      </c>
      <c r="R190" s="740"/>
      <c r="S190" s="740"/>
      <c r="T190" s="740"/>
      <c r="U190" s="740"/>
      <c r="V190" s="740"/>
      <c r="W190" s="740"/>
      <c r="X190" s="740"/>
      <c r="Y190" s="740"/>
      <c r="Z190" s="740"/>
      <c r="AA190" s="740"/>
      <c r="AB190" s="740"/>
      <c r="AC190" s="740"/>
      <c r="AD190" s="740"/>
      <c r="AE190" s="740"/>
      <c r="AF190" s="740"/>
      <c r="AG190" s="740"/>
      <c r="AH190" s="740"/>
      <c r="AI190" s="740"/>
      <c r="AJ190" s="740"/>
      <c r="AK190" s="740"/>
      <c r="AL190" s="740"/>
      <c r="AM190" s="740"/>
      <c r="AN190" s="740"/>
      <c r="AO190" s="740"/>
      <c r="AP190" s="740"/>
      <c r="AQ190" s="740"/>
      <c r="AR190" s="740"/>
      <c r="AS190" s="740"/>
      <c r="AT190" s="740"/>
      <c r="AU190" s="740"/>
      <c r="AV190" s="740"/>
      <c r="AW190" s="740"/>
      <c r="AX190" s="740"/>
      <c r="AY190" s="740"/>
      <c r="AZ190" s="740"/>
      <c r="BA190" s="740"/>
      <c r="BB190" s="740"/>
      <c r="BC190" s="740"/>
      <c r="BD190" s="740"/>
      <c r="BE190" s="740"/>
      <c r="BF190" s="740"/>
      <c r="BG190" s="740"/>
      <c r="BH190" s="740"/>
      <c r="BI190" s="740"/>
      <c r="BJ190" s="740"/>
      <c r="BK190" s="740"/>
      <c r="BL190" s="740"/>
      <c r="BM190" s="740"/>
      <c r="BN190" s="740"/>
      <c r="BO190" s="740"/>
      <c r="BP190" s="740"/>
      <c r="BQ190" s="740"/>
      <c r="BR190" s="740"/>
      <c r="BS190" s="740"/>
      <c r="BT190" s="740"/>
      <c r="BU190" s="740"/>
      <c r="BV190" s="740"/>
      <c r="BW190" s="740"/>
      <c r="BX190" s="740"/>
      <c r="BY190" s="740"/>
      <c r="BZ190" s="740"/>
      <c r="CA190" s="740"/>
      <c r="CB190" s="740"/>
      <c r="CC190" s="740"/>
      <c r="CD190" s="740"/>
      <c r="CE190" s="740"/>
      <c r="CF190" s="740"/>
      <c r="CG190" s="740"/>
      <c r="CH190" s="740"/>
      <c r="CI190" s="740"/>
      <c r="CJ190" s="740"/>
      <c r="CK190" s="740"/>
      <c r="CL190" s="740"/>
      <c r="CM190" s="740"/>
      <c r="CN190" s="740"/>
      <c r="CO190" s="740"/>
      <c r="CP190" s="740"/>
      <c r="CQ190" s="740"/>
      <c r="CR190" s="740"/>
      <c r="CS190" s="740"/>
      <c r="CT190" s="740"/>
      <c r="CU190" s="740"/>
      <c r="CV190" s="740"/>
      <c r="CW190" s="740"/>
      <c r="CX190" s="740"/>
      <c r="CY190" s="740"/>
      <c r="CZ190" s="740"/>
      <c r="DA190" s="740"/>
      <c r="DB190" s="740"/>
      <c r="DC190" s="740"/>
      <c r="DD190" s="740"/>
      <c r="DE190" s="740"/>
      <c r="DF190" s="740"/>
      <c r="DG190" s="740"/>
      <c r="DH190" s="740"/>
      <c r="DI190" s="740"/>
      <c r="DJ190" s="740"/>
      <c r="DK190" s="740"/>
      <c r="DL190" s="740"/>
      <c r="DM190" s="740"/>
      <c r="DN190" s="740"/>
      <c r="DO190" s="740"/>
      <c r="DP190" s="740"/>
      <c r="DQ190" s="740"/>
      <c r="DR190" s="740"/>
      <c r="DS190" s="740"/>
      <c r="DT190" s="740"/>
      <c r="DU190" s="740"/>
      <c r="DV190" s="740"/>
      <c r="DW190" s="740"/>
      <c r="DX190" s="740"/>
      <c r="DY190" s="740"/>
      <c r="DZ190" s="740"/>
      <c r="EA190" s="740"/>
      <c r="EB190" s="740"/>
      <c r="EC190" s="740"/>
      <c r="ED190" s="740"/>
      <c r="EE190" s="740"/>
      <c r="EF190" s="740"/>
      <c r="EG190" s="740"/>
      <c r="EH190" s="740"/>
      <c r="EI190" s="740"/>
      <c r="EJ190" s="740"/>
      <c r="EK190" s="740"/>
      <c r="EL190" s="740"/>
      <c r="EM190" s="740"/>
      <c r="EN190" s="740"/>
      <c r="EO190" s="740"/>
      <c r="EP190" s="740"/>
      <c r="EQ190" s="740"/>
      <c r="ER190" s="740"/>
      <c r="ES190" s="740"/>
      <c r="ET190" s="740"/>
      <c r="EU190" s="740"/>
      <c r="EV190" s="740"/>
      <c r="EW190" s="740"/>
      <c r="EX190" s="740"/>
      <c r="EY190" s="740"/>
      <c r="EZ190" s="740"/>
      <c r="FA190" s="740"/>
      <c r="FB190" s="740"/>
      <c r="FC190" s="740"/>
      <c r="FD190" s="740"/>
      <c r="FE190" s="740"/>
      <c r="FF190" s="740"/>
      <c r="FG190" s="740"/>
      <c r="FH190" s="740"/>
      <c r="FI190" s="740"/>
      <c r="FJ190" s="740"/>
      <c r="FK190" s="740"/>
      <c r="FL190" s="740"/>
      <c r="FM190" s="740"/>
      <c r="FN190" s="740"/>
      <c r="FO190" s="740"/>
      <c r="FP190" s="740"/>
      <c r="FQ190" s="740"/>
      <c r="FR190" s="740"/>
      <c r="FS190" s="740"/>
      <c r="FT190" s="740"/>
      <c r="FU190" s="740"/>
      <c r="FV190" s="740"/>
      <c r="FW190" s="740"/>
      <c r="FX190" s="740"/>
      <c r="FY190" s="740"/>
      <c r="FZ190" s="740"/>
      <c r="GA190" s="740"/>
      <c r="GB190" s="740"/>
      <c r="GC190" s="740"/>
      <c r="GD190" s="740"/>
      <c r="GE190" s="740"/>
      <c r="GF190" s="740"/>
      <c r="GG190" s="740"/>
      <c r="GH190" s="740"/>
      <c r="GI190" s="740"/>
      <c r="GJ190" s="740"/>
      <c r="GK190" s="740"/>
      <c r="GL190" s="740"/>
      <c r="GM190" s="740"/>
      <c r="GN190" s="740"/>
      <c r="GO190" s="740"/>
      <c r="GP190" s="740"/>
      <c r="GQ190" s="740"/>
      <c r="GR190" s="740"/>
      <c r="GS190" s="740"/>
      <c r="GT190" s="740"/>
      <c r="GU190" s="740"/>
      <c r="GV190" s="740"/>
      <c r="GW190" s="740"/>
    </row>
    <row r="191" spans="1:205" ht="24" customHeight="1" x14ac:dyDescent="0.2">
      <c r="E191" s="189">
        <v>26</v>
      </c>
      <c r="G191" s="189">
        <v>55.9</v>
      </c>
      <c r="H191" s="189">
        <v>45312</v>
      </c>
      <c r="J191" s="2897">
        <f t="shared" si="14"/>
        <v>9.2536193502824854E-2</v>
      </c>
      <c r="R191" s="740"/>
      <c r="S191" s="740"/>
      <c r="T191" s="740"/>
      <c r="U191" s="740"/>
      <c r="V191" s="740"/>
      <c r="W191" s="740"/>
      <c r="X191" s="740"/>
      <c r="Y191" s="740"/>
      <c r="Z191" s="740"/>
      <c r="AA191" s="740"/>
      <c r="AB191" s="740"/>
      <c r="AC191" s="740"/>
      <c r="AD191" s="740"/>
      <c r="AE191" s="740"/>
      <c r="AF191" s="740"/>
      <c r="AG191" s="740"/>
      <c r="AH191" s="740"/>
      <c r="AI191" s="740"/>
      <c r="AJ191" s="740"/>
      <c r="AK191" s="740"/>
      <c r="AL191" s="740"/>
      <c r="AM191" s="740"/>
      <c r="AN191" s="740"/>
      <c r="AO191" s="740"/>
      <c r="AP191" s="740"/>
      <c r="AQ191" s="740"/>
      <c r="AR191" s="740"/>
      <c r="AS191" s="740"/>
      <c r="AT191" s="740"/>
      <c r="AU191" s="740"/>
      <c r="AV191" s="740"/>
      <c r="AW191" s="740"/>
      <c r="AX191" s="740"/>
      <c r="AY191" s="740"/>
      <c r="AZ191" s="740"/>
      <c r="BA191" s="740"/>
      <c r="BB191" s="740"/>
      <c r="BC191" s="740"/>
      <c r="BD191" s="740"/>
      <c r="BE191" s="740"/>
      <c r="BF191" s="740"/>
      <c r="BG191" s="740"/>
      <c r="BH191" s="740"/>
      <c r="BI191" s="740"/>
      <c r="BJ191" s="740"/>
      <c r="BK191" s="740"/>
      <c r="BL191" s="740"/>
      <c r="BM191" s="740"/>
      <c r="BN191" s="740"/>
      <c r="BO191" s="740"/>
      <c r="BP191" s="740"/>
      <c r="BQ191" s="740"/>
      <c r="BR191" s="740"/>
      <c r="BS191" s="740"/>
      <c r="BT191" s="740"/>
      <c r="BU191" s="740"/>
      <c r="BV191" s="740"/>
      <c r="BW191" s="740"/>
      <c r="BX191" s="740"/>
      <c r="BY191" s="740"/>
      <c r="BZ191" s="740"/>
      <c r="CA191" s="740"/>
      <c r="CB191" s="740"/>
      <c r="CC191" s="740"/>
      <c r="CD191" s="740"/>
      <c r="CE191" s="740"/>
      <c r="CF191" s="740"/>
      <c r="CG191" s="740"/>
      <c r="CH191" s="740"/>
      <c r="CI191" s="740"/>
      <c r="CJ191" s="740"/>
      <c r="CK191" s="740"/>
      <c r="CL191" s="740"/>
      <c r="CM191" s="740"/>
      <c r="CN191" s="740"/>
      <c r="CO191" s="740"/>
      <c r="CP191" s="740"/>
      <c r="CQ191" s="740"/>
      <c r="CR191" s="740"/>
      <c r="CS191" s="740"/>
      <c r="CT191" s="740"/>
      <c r="CU191" s="740"/>
      <c r="CV191" s="740"/>
      <c r="CW191" s="740"/>
      <c r="CX191" s="740"/>
      <c r="CY191" s="740"/>
      <c r="CZ191" s="740"/>
      <c r="DA191" s="740"/>
      <c r="DB191" s="740"/>
      <c r="DC191" s="740"/>
      <c r="DD191" s="740"/>
      <c r="DE191" s="740"/>
      <c r="DF191" s="740"/>
      <c r="DG191" s="740"/>
      <c r="DH191" s="740"/>
      <c r="DI191" s="740"/>
      <c r="DJ191" s="740"/>
      <c r="DK191" s="740"/>
      <c r="DL191" s="740"/>
      <c r="DM191" s="740"/>
      <c r="DN191" s="740"/>
      <c r="DO191" s="740"/>
      <c r="DP191" s="740"/>
      <c r="DQ191" s="740"/>
      <c r="DR191" s="740"/>
      <c r="DS191" s="740"/>
      <c r="DT191" s="740"/>
      <c r="DU191" s="740"/>
      <c r="DV191" s="740"/>
      <c r="DW191" s="740"/>
      <c r="DX191" s="740"/>
      <c r="DY191" s="740"/>
      <c r="DZ191" s="740"/>
      <c r="EA191" s="740"/>
      <c r="EB191" s="740"/>
      <c r="EC191" s="740"/>
      <c r="ED191" s="740"/>
      <c r="EE191" s="740"/>
      <c r="EF191" s="740"/>
      <c r="EG191" s="740"/>
      <c r="EH191" s="740"/>
      <c r="EI191" s="740"/>
      <c r="EJ191" s="740"/>
      <c r="EK191" s="740"/>
      <c r="EL191" s="740"/>
      <c r="EM191" s="740"/>
      <c r="EN191" s="740"/>
      <c r="EO191" s="740"/>
      <c r="EP191" s="740"/>
      <c r="EQ191" s="740"/>
      <c r="ER191" s="740"/>
      <c r="ES191" s="740"/>
      <c r="ET191" s="740"/>
      <c r="EU191" s="740"/>
      <c r="EV191" s="740"/>
      <c r="EW191" s="740"/>
      <c r="EX191" s="740"/>
      <c r="EY191" s="740"/>
      <c r="EZ191" s="740"/>
      <c r="FA191" s="740"/>
      <c r="FB191" s="740"/>
      <c r="FC191" s="740"/>
      <c r="FD191" s="740"/>
      <c r="FE191" s="740"/>
      <c r="FF191" s="740"/>
      <c r="FG191" s="740"/>
      <c r="FH191" s="740"/>
      <c r="FI191" s="740"/>
      <c r="FJ191" s="740"/>
      <c r="FK191" s="740"/>
      <c r="FL191" s="740"/>
      <c r="FM191" s="740"/>
      <c r="FN191" s="740"/>
      <c r="FO191" s="740"/>
      <c r="FP191" s="740"/>
      <c r="FQ191" s="740"/>
      <c r="FR191" s="740"/>
      <c r="FS191" s="740"/>
      <c r="FT191" s="740"/>
      <c r="FU191" s="740"/>
      <c r="FV191" s="740"/>
      <c r="FW191" s="740"/>
      <c r="FX191" s="740"/>
      <c r="FY191" s="740"/>
      <c r="FZ191" s="740"/>
      <c r="GA191" s="740"/>
      <c r="GB191" s="740"/>
      <c r="GC191" s="740"/>
      <c r="GD191" s="740"/>
      <c r="GE191" s="740"/>
      <c r="GF191" s="740"/>
      <c r="GG191" s="740"/>
      <c r="GH191" s="740"/>
      <c r="GI191" s="740"/>
      <c r="GJ191" s="740"/>
      <c r="GK191" s="740"/>
      <c r="GL191" s="740"/>
      <c r="GM191" s="740"/>
      <c r="GN191" s="740"/>
      <c r="GO191" s="740"/>
      <c r="GP191" s="740"/>
      <c r="GQ191" s="740"/>
      <c r="GR191" s="740"/>
      <c r="GS191" s="740"/>
      <c r="GT191" s="740"/>
      <c r="GU191" s="740"/>
      <c r="GV191" s="740"/>
      <c r="GW191" s="740"/>
    </row>
    <row r="192" spans="1:205" ht="24" customHeight="1" x14ac:dyDescent="0.2">
      <c r="E192" s="189">
        <v>27</v>
      </c>
      <c r="G192" s="189">
        <v>55</v>
      </c>
      <c r="H192" s="189">
        <v>46341</v>
      </c>
      <c r="J192" s="2897">
        <f t="shared" si="14"/>
        <v>6.8276472238406591E-2</v>
      </c>
      <c r="R192" s="740"/>
      <c r="S192" s="740"/>
      <c r="T192" s="740"/>
      <c r="U192" s="740"/>
      <c r="V192" s="740"/>
      <c r="W192" s="740"/>
      <c r="X192" s="740"/>
      <c r="Y192" s="740"/>
      <c r="Z192" s="740"/>
      <c r="AA192" s="740"/>
      <c r="AB192" s="740"/>
      <c r="AC192" s="740"/>
      <c r="AD192" s="740"/>
      <c r="AE192" s="740"/>
      <c r="AF192" s="740"/>
      <c r="AG192" s="740"/>
      <c r="AH192" s="740"/>
      <c r="AI192" s="740"/>
      <c r="AJ192" s="740"/>
      <c r="AK192" s="740"/>
      <c r="AL192" s="740"/>
      <c r="AM192" s="740"/>
      <c r="AN192" s="740"/>
      <c r="AO192" s="740"/>
      <c r="AP192" s="740"/>
      <c r="AQ192" s="740"/>
      <c r="AR192" s="740"/>
      <c r="AS192" s="740"/>
      <c r="AT192" s="740"/>
      <c r="AU192" s="740"/>
      <c r="AV192" s="740"/>
      <c r="AW192" s="740"/>
      <c r="AX192" s="740"/>
      <c r="AY192" s="740"/>
      <c r="AZ192" s="740"/>
      <c r="BA192" s="740"/>
      <c r="BB192" s="740"/>
      <c r="BC192" s="740"/>
      <c r="BD192" s="740"/>
      <c r="BE192" s="740"/>
      <c r="BF192" s="740"/>
      <c r="BG192" s="740"/>
      <c r="BH192" s="740"/>
      <c r="BI192" s="740"/>
      <c r="BJ192" s="740"/>
      <c r="BK192" s="740"/>
      <c r="BL192" s="740"/>
      <c r="BM192" s="740"/>
      <c r="BN192" s="740"/>
      <c r="BO192" s="740"/>
      <c r="BP192" s="740"/>
      <c r="BQ192" s="740"/>
      <c r="BR192" s="740"/>
      <c r="BS192" s="740"/>
      <c r="BT192" s="740"/>
      <c r="BU192" s="740"/>
      <c r="BV192" s="740"/>
      <c r="BW192" s="740"/>
      <c r="BX192" s="740"/>
      <c r="BY192" s="740"/>
      <c r="BZ192" s="740"/>
      <c r="CA192" s="740"/>
      <c r="CB192" s="740"/>
      <c r="CC192" s="740"/>
      <c r="CD192" s="740"/>
      <c r="CE192" s="740"/>
      <c r="CF192" s="740"/>
      <c r="CG192" s="740"/>
      <c r="CH192" s="740"/>
      <c r="CI192" s="740"/>
      <c r="CJ192" s="740"/>
      <c r="CK192" s="740"/>
      <c r="CL192" s="740"/>
      <c r="CM192" s="740"/>
      <c r="CN192" s="740"/>
      <c r="CO192" s="740"/>
      <c r="CP192" s="740"/>
      <c r="CQ192" s="740"/>
      <c r="CR192" s="740"/>
      <c r="CS192" s="740"/>
      <c r="CT192" s="740"/>
      <c r="CU192" s="740"/>
      <c r="CV192" s="740"/>
      <c r="CW192" s="740"/>
      <c r="CX192" s="740"/>
      <c r="CY192" s="740"/>
      <c r="CZ192" s="740"/>
      <c r="DA192" s="740"/>
      <c r="DB192" s="740"/>
      <c r="DC192" s="740"/>
      <c r="DD192" s="740"/>
      <c r="DE192" s="740"/>
      <c r="DF192" s="740"/>
      <c r="DG192" s="740"/>
      <c r="DH192" s="740"/>
      <c r="DI192" s="740"/>
      <c r="DJ192" s="740"/>
      <c r="DK192" s="740"/>
      <c r="DL192" s="740"/>
      <c r="DM192" s="740"/>
      <c r="DN192" s="740"/>
      <c r="DO192" s="740"/>
      <c r="DP192" s="740"/>
      <c r="DQ192" s="740"/>
      <c r="DR192" s="740"/>
      <c r="DS192" s="740"/>
      <c r="DT192" s="740"/>
      <c r="DU192" s="740"/>
      <c r="DV192" s="740"/>
      <c r="DW192" s="740"/>
      <c r="DX192" s="740"/>
      <c r="DY192" s="740"/>
      <c r="DZ192" s="740"/>
      <c r="EA192" s="740"/>
      <c r="EB192" s="740"/>
      <c r="EC192" s="740"/>
      <c r="ED192" s="740"/>
      <c r="EE192" s="740"/>
      <c r="EF192" s="740"/>
      <c r="EG192" s="740"/>
      <c r="EH192" s="740"/>
      <c r="EI192" s="740"/>
      <c r="EJ192" s="740"/>
      <c r="EK192" s="740"/>
      <c r="EL192" s="740"/>
      <c r="EM192" s="740"/>
      <c r="EN192" s="740"/>
      <c r="EO192" s="740"/>
      <c r="EP192" s="740"/>
      <c r="EQ192" s="740"/>
      <c r="ER192" s="740"/>
      <c r="ES192" s="740"/>
      <c r="ET192" s="740"/>
      <c r="EU192" s="740"/>
      <c r="EV192" s="740"/>
      <c r="EW192" s="740"/>
      <c r="EX192" s="740"/>
      <c r="EY192" s="740"/>
      <c r="EZ192" s="740"/>
      <c r="FA192" s="740"/>
      <c r="FB192" s="740"/>
      <c r="FC192" s="740"/>
      <c r="FD192" s="740"/>
      <c r="FE192" s="740"/>
      <c r="FF192" s="740"/>
      <c r="FG192" s="740"/>
      <c r="FH192" s="740"/>
      <c r="FI192" s="740"/>
      <c r="FJ192" s="740"/>
      <c r="FK192" s="740"/>
      <c r="FL192" s="740"/>
      <c r="FM192" s="740"/>
      <c r="FN192" s="740"/>
      <c r="FO192" s="740"/>
      <c r="FP192" s="740"/>
      <c r="FQ192" s="740"/>
      <c r="FR192" s="740"/>
      <c r="FS192" s="740"/>
      <c r="FT192" s="740"/>
      <c r="FU192" s="740"/>
      <c r="FV192" s="740"/>
      <c r="FW192" s="740"/>
      <c r="FX192" s="740"/>
      <c r="FY192" s="740"/>
      <c r="FZ192" s="740"/>
      <c r="GA192" s="740"/>
      <c r="GB192" s="740"/>
      <c r="GC192" s="740"/>
      <c r="GD192" s="740"/>
      <c r="GE192" s="740"/>
      <c r="GF192" s="740"/>
      <c r="GG192" s="740"/>
      <c r="GH192" s="740"/>
      <c r="GI192" s="740"/>
      <c r="GJ192" s="740"/>
      <c r="GK192" s="740"/>
      <c r="GL192" s="740"/>
      <c r="GM192" s="740"/>
      <c r="GN192" s="740"/>
      <c r="GO192" s="740"/>
      <c r="GP192" s="740"/>
      <c r="GQ192" s="740"/>
      <c r="GR192" s="740"/>
      <c r="GS192" s="740"/>
      <c r="GT192" s="740"/>
      <c r="GU192" s="740"/>
      <c r="GV192" s="740"/>
      <c r="GW192" s="740"/>
    </row>
    <row r="193" spans="5:205" ht="24" customHeight="1" x14ac:dyDescent="0.2">
      <c r="E193" s="189">
        <v>28</v>
      </c>
      <c r="G193" s="189">
        <v>54.3</v>
      </c>
      <c r="H193" s="189">
        <v>47276</v>
      </c>
      <c r="J193" s="2897">
        <f t="shared" si="14"/>
        <v>4.7148658938996529E-2</v>
      </c>
      <c r="R193" s="740"/>
      <c r="S193" s="740"/>
      <c r="T193" s="740"/>
      <c r="U193" s="740"/>
      <c r="V193" s="740"/>
      <c r="W193" s="740"/>
      <c r="X193" s="740"/>
      <c r="Y193" s="740"/>
      <c r="Z193" s="740"/>
      <c r="AA193" s="740"/>
      <c r="AB193" s="740"/>
      <c r="AC193" s="740"/>
      <c r="AD193" s="740"/>
      <c r="AE193" s="740"/>
      <c r="AF193" s="740"/>
      <c r="AG193" s="740"/>
      <c r="AH193" s="740"/>
      <c r="AI193" s="740"/>
      <c r="AJ193" s="740"/>
      <c r="AK193" s="740"/>
      <c r="AL193" s="740"/>
      <c r="AM193" s="740"/>
      <c r="AN193" s="740"/>
      <c r="AO193" s="740"/>
      <c r="AP193" s="740"/>
      <c r="AQ193" s="740"/>
      <c r="AR193" s="740"/>
      <c r="AS193" s="740"/>
      <c r="AT193" s="740"/>
      <c r="AU193" s="740"/>
      <c r="AV193" s="740"/>
      <c r="AW193" s="740"/>
      <c r="AX193" s="740"/>
      <c r="AY193" s="740"/>
      <c r="AZ193" s="740"/>
      <c r="BA193" s="740"/>
      <c r="BB193" s="740"/>
      <c r="BC193" s="740"/>
      <c r="BD193" s="740"/>
      <c r="BE193" s="740"/>
      <c r="BF193" s="740"/>
      <c r="BG193" s="740"/>
      <c r="BH193" s="740"/>
      <c r="BI193" s="740"/>
      <c r="BJ193" s="740"/>
      <c r="BK193" s="740"/>
      <c r="BL193" s="740"/>
      <c r="BM193" s="740"/>
      <c r="BN193" s="740"/>
      <c r="BO193" s="740"/>
      <c r="BP193" s="740"/>
      <c r="BQ193" s="740"/>
      <c r="BR193" s="740"/>
      <c r="BS193" s="740"/>
      <c r="BT193" s="740"/>
      <c r="BU193" s="740"/>
      <c r="BV193" s="740"/>
      <c r="BW193" s="740"/>
      <c r="BX193" s="740"/>
      <c r="BY193" s="740"/>
      <c r="BZ193" s="740"/>
      <c r="CA193" s="740"/>
      <c r="CB193" s="740"/>
      <c r="CC193" s="740"/>
      <c r="CD193" s="740"/>
      <c r="CE193" s="740"/>
      <c r="CF193" s="740"/>
      <c r="CG193" s="740"/>
      <c r="CH193" s="740"/>
      <c r="CI193" s="740"/>
      <c r="CJ193" s="740"/>
      <c r="CK193" s="740"/>
      <c r="CL193" s="740"/>
      <c r="CM193" s="740"/>
      <c r="CN193" s="740"/>
      <c r="CO193" s="740"/>
      <c r="CP193" s="740"/>
      <c r="CQ193" s="740"/>
      <c r="CR193" s="740"/>
      <c r="CS193" s="740"/>
      <c r="CT193" s="740"/>
      <c r="CU193" s="740"/>
      <c r="CV193" s="740"/>
      <c r="CW193" s="740"/>
      <c r="CX193" s="740"/>
      <c r="CY193" s="740"/>
      <c r="CZ193" s="740"/>
      <c r="DA193" s="740"/>
      <c r="DB193" s="740"/>
      <c r="DC193" s="740"/>
      <c r="DD193" s="740"/>
      <c r="DE193" s="740"/>
      <c r="DF193" s="740"/>
      <c r="DG193" s="740"/>
      <c r="DH193" s="740"/>
      <c r="DI193" s="740"/>
      <c r="DJ193" s="740"/>
      <c r="DK193" s="740"/>
      <c r="DL193" s="740"/>
      <c r="DM193" s="740"/>
      <c r="DN193" s="740"/>
      <c r="DO193" s="740"/>
      <c r="DP193" s="740"/>
      <c r="DQ193" s="740"/>
      <c r="DR193" s="740"/>
      <c r="DS193" s="740"/>
      <c r="DT193" s="740"/>
      <c r="DU193" s="740"/>
      <c r="DV193" s="740"/>
      <c r="DW193" s="740"/>
      <c r="DX193" s="740"/>
      <c r="DY193" s="740"/>
      <c r="DZ193" s="740"/>
      <c r="EA193" s="740"/>
      <c r="EB193" s="740"/>
      <c r="EC193" s="740"/>
      <c r="ED193" s="740"/>
      <c r="EE193" s="740"/>
      <c r="EF193" s="740"/>
      <c r="EG193" s="740"/>
      <c r="EH193" s="740"/>
      <c r="EI193" s="740"/>
      <c r="EJ193" s="740"/>
      <c r="EK193" s="740"/>
      <c r="EL193" s="740"/>
      <c r="EM193" s="740"/>
      <c r="EN193" s="740"/>
      <c r="EO193" s="740"/>
      <c r="EP193" s="740"/>
      <c r="EQ193" s="740"/>
      <c r="ER193" s="740"/>
      <c r="ES193" s="740"/>
      <c r="ET193" s="740"/>
      <c r="EU193" s="740"/>
      <c r="EV193" s="740"/>
      <c r="EW193" s="740"/>
      <c r="EX193" s="740"/>
      <c r="EY193" s="740"/>
      <c r="EZ193" s="740"/>
      <c r="FA193" s="740"/>
      <c r="FB193" s="740"/>
      <c r="FC193" s="740"/>
      <c r="FD193" s="740"/>
      <c r="FE193" s="740"/>
      <c r="FF193" s="740"/>
      <c r="FG193" s="740"/>
      <c r="FH193" s="740"/>
      <c r="FI193" s="740"/>
      <c r="FJ193" s="740"/>
      <c r="FK193" s="740"/>
      <c r="FL193" s="740"/>
      <c r="FM193" s="740"/>
      <c r="FN193" s="740"/>
      <c r="FO193" s="740"/>
      <c r="FP193" s="740"/>
      <c r="FQ193" s="740"/>
      <c r="FR193" s="740"/>
      <c r="FS193" s="740"/>
      <c r="FT193" s="740"/>
      <c r="FU193" s="740"/>
      <c r="FV193" s="740"/>
      <c r="FW193" s="740"/>
      <c r="FX193" s="740"/>
      <c r="FY193" s="740"/>
      <c r="FZ193" s="740"/>
      <c r="GA193" s="740"/>
      <c r="GB193" s="740"/>
      <c r="GC193" s="740"/>
      <c r="GD193" s="740"/>
      <c r="GE193" s="740"/>
      <c r="GF193" s="740"/>
      <c r="GG193" s="740"/>
      <c r="GH193" s="740"/>
      <c r="GI193" s="740"/>
      <c r="GJ193" s="740"/>
      <c r="GK193" s="740"/>
      <c r="GL193" s="740"/>
      <c r="GM193" s="740"/>
      <c r="GN193" s="740"/>
      <c r="GO193" s="740"/>
      <c r="GP193" s="740"/>
      <c r="GQ193" s="740"/>
      <c r="GR193" s="740"/>
      <c r="GS193" s="740"/>
      <c r="GT193" s="740"/>
      <c r="GU193" s="740"/>
      <c r="GV193" s="740"/>
      <c r="GW193" s="740"/>
    </row>
    <row r="194" spans="5:205" ht="24" customHeight="1" x14ac:dyDescent="0.2">
      <c r="E194" s="189">
        <v>29</v>
      </c>
      <c r="G194" s="189">
        <v>53.6</v>
      </c>
      <c r="H194" s="189">
        <v>48378</v>
      </c>
      <c r="J194" s="2897">
        <f t="shared" si="14"/>
        <v>2.3295712927363679E-2</v>
      </c>
      <c r="R194" s="740"/>
      <c r="S194" s="740"/>
      <c r="T194" s="740"/>
      <c r="U194" s="740"/>
      <c r="V194" s="740"/>
      <c r="W194" s="740"/>
      <c r="X194" s="740"/>
      <c r="Y194" s="740"/>
      <c r="Z194" s="740"/>
      <c r="AA194" s="740"/>
      <c r="AB194" s="740"/>
      <c r="AC194" s="740"/>
      <c r="AD194" s="740"/>
      <c r="AE194" s="740"/>
      <c r="AF194" s="740"/>
      <c r="AG194" s="740"/>
      <c r="AH194" s="740"/>
      <c r="AI194" s="740"/>
      <c r="AJ194" s="740"/>
      <c r="AK194" s="740"/>
      <c r="AL194" s="740"/>
      <c r="AM194" s="740"/>
      <c r="AN194" s="740"/>
      <c r="AO194" s="740"/>
      <c r="AP194" s="740"/>
      <c r="AQ194" s="740"/>
      <c r="AR194" s="740"/>
      <c r="AS194" s="740"/>
      <c r="AT194" s="740"/>
      <c r="AU194" s="740"/>
      <c r="AV194" s="740"/>
      <c r="AW194" s="740"/>
      <c r="AX194" s="740"/>
      <c r="AY194" s="740"/>
      <c r="AZ194" s="740"/>
      <c r="BA194" s="740"/>
      <c r="BB194" s="740"/>
      <c r="BC194" s="740"/>
      <c r="BD194" s="740"/>
      <c r="BE194" s="740"/>
      <c r="BF194" s="740"/>
      <c r="BG194" s="740"/>
      <c r="BH194" s="740"/>
      <c r="BI194" s="740"/>
      <c r="BJ194" s="740"/>
      <c r="BK194" s="740"/>
      <c r="BL194" s="740"/>
      <c r="BM194" s="740"/>
      <c r="BN194" s="740"/>
      <c r="BO194" s="740"/>
      <c r="BP194" s="740"/>
      <c r="BQ194" s="740"/>
      <c r="BR194" s="740"/>
      <c r="BS194" s="740"/>
      <c r="BT194" s="740"/>
      <c r="BU194" s="740"/>
      <c r="BV194" s="740"/>
      <c r="BW194" s="740"/>
      <c r="BX194" s="740"/>
      <c r="BY194" s="740"/>
      <c r="BZ194" s="740"/>
      <c r="CA194" s="740"/>
      <c r="CB194" s="740"/>
      <c r="CC194" s="740"/>
      <c r="CD194" s="740"/>
      <c r="CE194" s="740"/>
      <c r="CF194" s="740"/>
      <c r="CG194" s="740"/>
      <c r="CH194" s="740"/>
      <c r="CI194" s="740"/>
      <c r="CJ194" s="740"/>
      <c r="CK194" s="740"/>
      <c r="CL194" s="740"/>
      <c r="CM194" s="740"/>
      <c r="CN194" s="740"/>
      <c r="CO194" s="740"/>
      <c r="CP194" s="740"/>
      <c r="CQ194" s="740"/>
      <c r="CR194" s="740"/>
      <c r="CS194" s="740"/>
      <c r="CT194" s="740"/>
      <c r="CU194" s="740"/>
      <c r="CV194" s="740"/>
      <c r="CW194" s="740"/>
      <c r="CX194" s="740"/>
      <c r="CY194" s="740"/>
      <c r="CZ194" s="740"/>
      <c r="DA194" s="740"/>
      <c r="DB194" s="740"/>
      <c r="DC194" s="740"/>
      <c r="DD194" s="740"/>
      <c r="DE194" s="740"/>
      <c r="DF194" s="740"/>
      <c r="DG194" s="740"/>
      <c r="DH194" s="740"/>
      <c r="DI194" s="740"/>
      <c r="DJ194" s="740"/>
      <c r="DK194" s="740"/>
      <c r="DL194" s="740"/>
      <c r="DM194" s="740"/>
      <c r="DN194" s="740"/>
      <c r="DO194" s="740"/>
      <c r="DP194" s="740"/>
      <c r="DQ194" s="740"/>
      <c r="DR194" s="740"/>
      <c r="DS194" s="740"/>
      <c r="DT194" s="740"/>
      <c r="DU194" s="740"/>
      <c r="DV194" s="740"/>
      <c r="DW194" s="740"/>
      <c r="DX194" s="740"/>
      <c r="DY194" s="740"/>
      <c r="DZ194" s="740"/>
      <c r="EA194" s="740"/>
      <c r="EB194" s="740"/>
      <c r="EC194" s="740"/>
      <c r="ED194" s="740"/>
      <c r="EE194" s="740"/>
      <c r="EF194" s="740"/>
      <c r="EG194" s="740"/>
      <c r="EH194" s="740"/>
      <c r="EI194" s="740"/>
      <c r="EJ194" s="740"/>
      <c r="EK194" s="740"/>
      <c r="EL194" s="740"/>
      <c r="EM194" s="740"/>
      <c r="EN194" s="740"/>
      <c r="EO194" s="740"/>
      <c r="EP194" s="740"/>
      <c r="EQ194" s="740"/>
      <c r="ER194" s="740"/>
      <c r="ES194" s="740"/>
      <c r="ET194" s="740"/>
      <c r="EU194" s="740"/>
      <c r="EV194" s="740"/>
      <c r="EW194" s="740"/>
      <c r="EX194" s="740"/>
      <c r="EY194" s="740"/>
      <c r="EZ194" s="740"/>
      <c r="FA194" s="740"/>
      <c r="FB194" s="740"/>
      <c r="FC194" s="740"/>
      <c r="FD194" s="740"/>
      <c r="FE194" s="740"/>
      <c r="FF194" s="740"/>
      <c r="FG194" s="740"/>
      <c r="FH194" s="740"/>
      <c r="FI194" s="740"/>
      <c r="FJ194" s="740"/>
      <c r="FK194" s="740"/>
      <c r="FL194" s="740"/>
      <c r="FM194" s="740"/>
      <c r="FN194" s="740"/>
      <c r="FO194" s="740"/>
      <c r="FP194" s="740"/>
      <c r="FQ194" s="740"/>
      <c r="FR194" s="740"/>
      <c r="FS194" s="740"/>
      <c r="FT194" s="740"/>
      <c r="FU194" s="740"/>
      <c r="FV194" s="740"/>
      <c r="FW194" s="740"/>
      <c r="FX194" s="740"/>
      <c r="FY194" s="740"/>
      <c r="FZ194" s="740"/>
      <c r="GA194" s="740"/>
      <c r="GB194" s="740"/>
      <c r="GC194" s="740"/>
      <c r="GD194" s="740"/>
      <c r="GE194" s="740"/>
      <c r="GF194" s="740"/>
      <c r="GG194" s="740"/>
      <c r="GH194" s="740"/>
      <c r="GI194" s="740"/>
      <c r="GJ194" s="740"/>
      <c r="GK194" s="740"/>
      <c r="GL194" s="740"/>
      <c r="GM194" s="740"/>
      <c r="GN194" s="740"/>
      <c r="GO194" s="740"/>
      <c r="GP194" s="740"/>
      <c r="GQ194" s="740"/>
      <c r="GR194" s="740"/>
      <c r="GS194" s="740"/>
      <c r="GT194" s="740"/>
      <c r="GU194" s="740"/>
      <c r="GV194" s="740"/>
      <c r="GW194" s="740"/>
    </row>
    <row r="195" spans="5:205" ht="24" customHeight="1" x14ac:dyDescent="0.2">
      <c r="E195" s="189">
        <v>30</v>
      </c>
      <c r="G195" s="189">
        <v>53</v>
      </c>
      <c r="H195" s="189">
        <v>49505</v>
      </c>
      <c r="J195" s="2897">
        <f t="shared" si="14"/>
        <v>0</v>
      </c>
      <c r="R195" s="740"/>
      <c r="S195" s="740"/>
      <c r="T195" s="740"/>
      <c r="U195" s="740"/>
      <c r="V195" s="740"/>
      <c r="W195" s="740"/>
      <c r="X195" s="740"/>
      <c r="Y195" s="740"/>
      <c r="Z195" s="740"/>
      <c r="AA195" s="740"/>
      <c r="AB195" s="740"/>
      <c r="AC195" s="740"/>
      <c r="AD195" s="740"/>
      <c r="AE195" s="740"/>
      <c r="AF195" s="740"/>
      <c r="AG195" s="740"/>
      <c r="AH195" s="740"/>
      <c r="AI195" s="740"/>
      <c r="AJ195" s="740"/>
      <c r="AK195" s="740"/>
      <c r="AL195" s="740"/>
      <c r="AM195" s="740"/>
      <c r="AN195" s="740"/>
      <c r="AO195" s="740"/>
      <c r="AP195" s="740"/>
      <c r="AQ195" s="740"/>
      <c r="AR195" s="740"/>
      <c r="AS195" s="740"/>
      <c r="AT195" s="740"/>
      <c r="AU195" s="740"/>
      <c r="AV195" s="740"/>
      <c r="AW195" s="740"/>
      <c r="AX195" s="740"/>
      <c r="AY195" s="740"/>
      <c r="AZ195" s="740"/>
      <c r="BA195" s="740"/>
      <c r="BB195" s="740"/>
      <c r="BC195" s="740"/>
      <c r="BD195" s="740"/>
      <c r="BE195" s="740"/>
      <c r="BF195" s="740"/>
      <c r="BG195" s="740"/>
      <c r="BH195" s="740"/>
      <c r="BI195" s="740"/>
      <c r="BJ195" s="740"/>
      <c r="BK195" s="740"/>
      <c r="BL195" s="740"/>
      <c r="BM195" s="740"/>
      <c r="BN195" s="740"/>
      <c r="BO195" s="740"/>
      <c r="BP195" s="740"/>
      <c r="BQ195" s="740"/>
      <c r="BR195" s="740"/>
      <c r="BS195" s="740"/>
      <c r="BT195" s="740"/>
      <c r="BU195" s="740"/>
      <c r="BV195" s="740"/>
      <c r="BW195" s="740"/>
      <c r="BX195" s="740"/>
      <c r="BY195" s="740"/>
      <c r="BZ195" s="740"/>
      <c r="CA195" s="740"/>
      <c r="CB195" s="740"/>
      <c r="CC195" s="740"/>
      <c r="CD195" s="740"/>
      <c r="CE195" s="740"/>
      <c r="CF195" s="740"/>
      <c r="CG195" s="740"/>
      <c r="CH195" s="740"/>
      <c r="CI195" s="740"/>
      <c r="CJ195" s="740"/>
      <c r="CK195" s="740"/>
      <c r="CL195" s="740"/>
      <c r="CM195" s="740"/>
      <c r="CN195" s="740"/>
      <c r="CO195" s="740"/>
      <c r="CP195" s="740"/>
      <c r="CQ195" s="740"/>
      <c r="CR195" s="740"/>
      <c r="CS195" s="740"/>
      <c r="CT195" s="740"/>
      <c r="CU195" s="740"/>
      <c r="CV195" s="740"/>
      <c r="CW195" s="740"/>
      <c r="CX195" s="740"/>
      <c r="CY195" s="740"/>
      <c r="CZ195" s="740"/>
      <c r="DA195" s="740"/>
      <c r="DB195" s="740"/>
      <c r="DC195" s="740"/>
      <c r="DD195" s="740"/>
      <c r="DE195" s="740"/>
      <c r="DF195" s="740"/>
      <c r="DG195" s="740"/>
      <c r="DH195" s="740"/>
      <c r="DI195" s="740"/>
      <c r="DJ195" s="740"/>
      <c r="DK195" s="740"/>
      <c r="DL195" s="740"/>
      <c r="DM195" s="740"/>
      <c r="DN195" s="740"/>
      <c r="DO195" s="740"/>
      <c r="DP195" s="740"/>
      <c r="DQ195" s="740"/>
      <c r="DR195" s="740"/>
      <c r="DS195" s="740"/>
      <c r="DT195" s="740"/>
      <c r="DU195" s="740"/>
      <c r="DV195" s="740"/>
      <c r="DW195" s="740"/>
      <c r="DX195" s="740"/>
      <c r="DY195" s="740"/>
      <c r="DZ195" s="740"/>
      <c r="EA195" s="740"/>
      <c r="EB195" s="740"/>
      <c r="EC195" s="740"/>
      <c r="ED195" s="740"/>
      <c r="EE195" s="740"/>
      <c r="EF195" s="740"/>
      <c r="EG195" s="740"/>
      <c r="EH195" s="740"/>
      <c r="EI195" s="740"/>
      <c r="EJ195" s="740"/>
      <c r="EK195" s="740"/>
      <c r="EL195" s="740"/>
      <c r="EM195" s="740"/>
      <c r="EN195" s="740"/>
      <c r="EO195" s="740"/>
      <c r="EP195" s="740"/>
      <c r="EQ195" s="740"/>
      <c r="ER195" s="740"/>
      <c r="ES195" s="740"/>
      <c r="ET195" s="740"/>
      <c r="EU195" s="740"/>
      <c r="EV195" s="740"/>
      <c r="EW195" s="740"/>
      <c r="EX195" s="740"/>
      <c r="EY195" s="740"/>
      <c r="EZ195" s="740"/>
      <c r="FA195" s="740"/>
      <c r="FB195" s="740"/>
      <c r="FC195" s="740"/>
      <c r="FD195" s="740"/>
      <c r="FE195" s="740"/>
      <c r="FF195" s="740"/>
      <c r="FG195" s="740"/>
      <c r="FH195" s="740"/>
      <c r="FI195" s="740"/>
      <c r="FJ195" s="740"/>
      <c r="FK195" s="740"/>
      <c r="FL195" s="740"/>
      <c r="FM195" s="740"/>
      <c r="FN195" s="740"/>
      <c r="FO195" s="740"/>
      <c r="FP195" s="740"/>
      <c r="FQ195" s="740"/>
      <c r="FR195" s="740"/>
      <c r="FS195" s="740"/>
      <c r="FT195" s="740"/>
      <c r="FU195" s="740"/>
      <c r="FV195" s="740"/>
      <c r="FW195" s="740"/>
      <c r="FX195" s="740"/>
      <c r="FY195" s="740"/>
      <c r="FZ195" s="740"/>
      <c r="GA195" s="740"/>
      <c r="GB195" s="740"/>
      <c r="GC195" s="740"/>
      <c r="GD195" s="740"/>
      <c r="GE195" s="740"/>
      <c r="GF195" s="740"/>
      <c r="GG195" s="740"/>
      <c r="GH195" s="740"/>
      <c r="GI195" s="740"/>
      <c r="GJ195" s="740"/>
      <c r="GK195" s="740"/>
      <c r="GL195" s="740"/>
      <c r="GM195" s="740"/>
      <c r="GN195" s="740"/>
      <c r="GO195" s="740"/>
      <c r="GP195" s="740"/>
      <c r="GQ195" s="740"/>
      <c r="GR195" s="740"/>
      <c r="GS195" s="740"/>
      <c r="GT195" s="740"/>
      <c r="GU195" s="740"/>
      <c r="GV195" s="740"/>
      <c r="GW195" s="740"/>
    </row>
    <row r="196" spans="5:205" ht="24" customHeight="1" x14ac:dyDescent="0.2">
      <c r="R196" s="740"/>
      <c r="S196" s="740"/>
      <c r="T196" s="740"/>
      <c r="U196" s="740"/>
      <c r="V196" s="740"/>
      <c r="W196" s="740"/>
      <c r="X196" s="740"/>
      <c r="Y196" s="740"/>
      <c r="Z196" s="740"/>
      <c r="AA196" s="740"/>
      <c r="AB196" s="740"/>
      <c r="AC196" s="740"/>
      <c r="AD196" s="740"/>
      <c r="AE196" s="740"/>
      <c r="AF196" s="740"/>
      <c r="AG196" s="740"/>
      <c r="AH196" s="740"/>
      <c r="AI196" s="740"/>
      <c r="AJ196" s="740"/>
      <c r="AK196" s="740"/>
      <c r="AL196" s="740"/>
      <c r="AM196" s="740"/>
      <c r="AN196" s="740"/>
      <c r="AO196" s="740"/>
      <c r="AP196" s="740"/>
      <c r="AQ196" s="740"/>
      <c r="AR196" s="740"/>
      <c r="AS196" s="740"/>
      <c r="AT196" s="740"/>
      <c r="AU196" s="740"/>
      <c r="AV196" s="740"/>
      <c r="AW196" s="740"/>
      <c r="AX196" s="740"/>
      <c r="AY196" s="740"/>
      <c r="AZ196" s="740"/>
      <c r="BA196" s="740"/>
      <c r="BB196" s="740"/>
      <c r="BC196" s="740"/>
      <c r="BD196" s="740"/>
      <c r="BE196" s="740"/>
      <c r="BF196" s="740"/>
      <c r="BG196" s="740"/>
      <c r="BH196" s="740"/>
      <c r="BI196" s="740"/>
      <c r="BJ196" s="740"/>
      <c r="BK196" s="740"/>
      <c r="BL196" s="740"/>
      <c r="BM196" s="740"/>
      <c r="BN196" s="740"/>
      <c r="BO196" s="740"/>
      <c r="BP196" s="740"/>
      <c r="BQ196" s="740"/>
      <c r="BR196" s="740"/>
      <c r="BS196" s="740"/>
      <c r="BT196" s="740"/>
      <c r="BU196" s="740"/>
      <c r="BV196" s="740"/>
      <c r="BW196" s="740"/>
      <c r="BX196" s="740"/>
      <c r="BY196" s="740"/>
      <c r="BZ196" s="740"/>
      <c r="CA196" s="740"/>
      <c r="CB196" s="740"/>
      <c r="CC196" s="740"/>
      <c r="CD196" s="740"/>
      <c r="CE196" s="740"/>
      <c r="CF196" s="740"/>
      <c r="CG196" s="740"/>
      <c r="CH196" s="740"/>
      <c r="CI196" s="740"/>
      <c r="CJ196" s="740"/>
      <c r="CK196" s="740"/>
      <c r="CL196" s="740"/>
      <c r="CM196" s="740"/>
      <c r="CN196" s="740"/>
      <c r="CO196" s="740"/>
      <c r="CP196" s="740"/>
      <c r="CQ196" s="740"/>
      <c r="CR196" s="740"/>
      <c r="CS196" s="740"/>
      <c r="CT196" s="740"/>
      <c r="CU196" s="740"/>
      <c r="CV196" s="740"/>
      <c r="CW196" s="740"/>
      <c r="CX196" s="740"/>
      <c r="CY196" s="740"/>
      <c r="CZ196" s="740"/>
      <c r="DA196" s="740"/>
      <c r="DB196" s="740"/>
      <c r="DC196" s="740"/>
      <c r="DD196" s="740"/>
      <c r="DE196" s="740"/>
      <c r="DF196" s="740"/>
      <c r="DG196" s="740"/>
      <c r="DH196" s="740"/>
      <c r="DI196" s="740"/>
      <c r="DJ196" s="740"/>
      <c r="DK196" s="740"/>
      <c r="DL196" s="740"/>
      <c r="DM196" s="740"/>
      <c r="DN196" s="740"/>
      <c r="DO196" s="740"/>
      <c r="DP196" s="740"/>
      <c r="DQ196" s="740"/>
      <c r="DR196" s="740"/>
      <c r="DS196" s="740"/>
      <c r="DT196" s="740"/>
      <c r="DU196" s="740"/>
      <c r="DV196" s="740"/>
      <c r="DW196" s="740"/>
      <c r="DX196" s="740"/>
      <c r="DY196" s="740"/>
      <c r="DZ196" s="740"/>
      <c r="EA196" s="740"/>
      <c r="EB196" s="740"/>
      <c r="EC196" s="740"/>
      <c r="ED196" s="740"/>
      <c r="EE196" s="740"/>
      <c r="EF196" s="740"/>
      <c r="EG196" s="740"/>
      <c r="EH196" s="740"/>
      <c r="EI196" s="740"/>
      <c r="EJ196" s="740"/>
      <c r="EK196" s="740"/>
      <c r="EL196" s="740"/>
      <c r="EM196" s="740"/>
      <c r="EN196" s="740"/>
      <c r="EO196" s="740"/>
      <c r="EP196" s="740"/>
      <c r="EQ196" s="740"/>
      <c r="ER196" s="740"/>
      <c r="ES196" s="740"/>
      <c r="ET196" s="740"/>
      <c r="EU196" s="740"/>
      <c r="EV196" s="740"/>
      <c r="EW196" s="740"/>
      <c r="EX196" s="740"/>
      <c r="EY196" s="740"/>
      <c r="EZ196" s="740"/>
      <c r="FA196" s="740"/>
      <c r="FB196" s="740"/>
      <c r="FC196" s="740"/>
      <c r="FD196" s="740"/>
      <c r="FE196" s="740"/>
      <c r="FF196" s="740"/>
      <c r="FG196" s="740"/>
      <c r="FH196" s="740"/>
      <c r="FI196" s="740"/>
      <c r="FJ196" s="740"/>
      <c r="FK196" s="740"/>
      <c r="FL196" s="740"/>
      <c r="FM196" s="740"/>
      <c r="FN196" s="740"/>
      <c r="FO196" s="740"/>
      <c r="FP196" s="740"/>
      <c r="FQ196" s="740"/>
      <c r="FR196" s="740"/>
      <c r="FS196" s="740"/>
      <c r="FT196" s="740"/>
      <c r="FU196" s="740"/>
      <c r="FV196" s="740"/>
      <c r="FW196" s="740"/>
      <c r="FX196" s="740"/>
      <c r="FY196" s="740"/>
      <c r="FZ196" s="740"/>
      <c r="GA196" s="740"/>
      <c r="GB196" s="740"/>
      <c r="GC196" s="740"/>
      <c r="GD196" s="740"/>
      <c r="GE196" s="740"/>
      <c r="GF196" s="740"/>
      <c r="GG196" s="740"/>
      <c r="GH196" s="740"/>
      <c r="GI196" s="740"/>
      <c r="GJ196" s="740"/>
      <c r="GK196" s="740"/>
      <c r="GL196" s="740"/>
      <c r="GM196" s="740"/>
      <c r="GN196" s="740"/>
      <c r="GO196" s="740"/>
      <c r="GP196" s="740"/>
      <c r="GQ196" s="740"/>
      <c r="GR196" s="740"/>
      <c r="GS196" s="740"/>
      <c r="GT196" s="740"/>
      <c r="GU196" s="740"/>
      <c r="GV196" s="740"/>
      <c r="GW196" s="740"/>
    </row>
    <row r="197" spans="5:205" ht="24" customHeight="1" x14ac:dyDescent="0.2">
      <c r="R197" s="740"/>
      <c r="S197" s="740"/>
      <c r="T197" s="740"/>
      <c r="U197" s="740"/>
      <c r="V197" s="740"/>
      <c r="W197" s="740"/>
      <c r="X197" s="740"/>
      <c r="Y197" s="740"/>
      <c r="Z197" s="740"/>
      <c r="AA197" s="740"/>
      <c r="AB197" s="740"/>
      <c r="AC197" s="740"/>
      <c r="AD197" s="740"/>
      <c r="AE197" s="740"/>
      <c r="AF197" s="740"/>
      <c r="AG197" s="740"/>
      <c r="AH197" s="740"/>
      <c r="AI197" s="740"/>
      <c r="AJ197" s="740"/>
      <c r="AK197" s="740"/>
      <c r="AL197" s="740"/>
      <c r="AM197" s="740"/>
      <c r="AN197" s="740"/>
      <c r="AO197" s="740"/>
      <c r="AP197" s="740"/>
      <c r="AQ197" s="740"/>
      <c r="AR197" s="740"/>
      <c r="AS197" s="740"/>
      <c r="AT197" s="740"/>
      <c r="AU197" s="740"/>
      <c r="AV197" s="740"/>
      <c r="AW197" s="740"/>
      <c r="AX197" s="740"/>
      <c r="AY197" s="740"/>
      <c r="AZ197" s="740"/>
      <c r="BA197" s="740"/>
      <c r="BB197" s="740"/>
      <c r="BC197" s="740"/>
      <c r="BD197" s="740"/>
      <c r="BE197" s="740"/>
      <c r="BF197" s="740"/>
      <c r="BG197" s="740"/>
      <c r="BH197" s="740"/>
      <c r="BI197" s="740"/>
      <c r="BJ197" s="740"/>
      <c r="BK197" s="740"/>
      <c r="BL197" s="740"/>
      <c r="BM197" s="740"/>
      <c r="BN197" s="740"/>
      <c r="BO197" s="740"/>
      <c r="BP197" s="740"/>
      <c r="BQ197" s="740"/>
      <c r="BR197" s="740"/>
      <c r="BS197" s="740"/>
      <c r="BT197" s="740"/>
      <c r="BU197" s="740"/>
      <c r="BV197" s="740"/>
      <c r="BW197" s="740"/>
      <c r="BX197" s="740"/>
      <c r="BY197" s="740"/>
      <c r="BZ197" s="740"/>
      <c r="CA197" s="740"/>
      <c r="CB197" s="740"/>
      <c r="CC197" s="740"/>
      <c r="CD197" s="740"/>
      <c r="CE197" s="740"/>
      <c r="CF197" s="740"/>
      <c r="CG197" s="740"/>
      <c r="CH197" s="740"/>
      <c r="CI197" s="740"/>
      <c r="CJ197" s="740"/>
      <c r="CK197" s="740"/>
      <c r="CL197" s="740"/>
      <c r="CM197" s="740"/>
      <c r="CN197" s="740"/>
      <c r="CO197" s="740"/>
      <c r="CP197" s="740"/>
      <c r="CQ197" s="740"/>
      <c r="CR197" s="740"/>
      <c r="CS197" s="740"/>
      <c r="CT197" s="740"/>
      <c r="CU197" s="740"/>
      <c r="CV197" s="740"/>
      <c r="CW197" s="740"/>
      <c r="CX197" s="740"/>
      <c r="CY197" s="740"/>
      <c r="CZ197" s="740"/>
      <c r="DA197" s="740"/>
      <c r="DB197" s="740"/>
      <c r="DC197" s="740"/>
      <c r="DD197" s="740"/>
      <c r="DE197" s="740"/>
      <c r="DF197" s="740"/>
      <c r="DG197" s="740"/>
      <c r="DH197" s="740"/>
      <c r="DI197" s="740"/>
      <c r="DJ197" s="740"/>
      <c r="DK197" s="740"/>
      <c r="DL197" s="740"/>
      <c r="DM197" s="740"/>
      <c r="DN197" s="740"/>
      <c r="DO197" s="740"/>
      <c r="DP197" s="740"/>
      <c r="DQ197" s="740"/>
      <c r="DR197" s="740"/>
      <c r="DS197" s="740"/>
      <c r="DT197" s="740"/>
      <c r="DU197" s="740"/>
      <c r="DV197" s="740"/>
      <c r="DW197" s="740"/>
      <c r="DX197" s="740"/>
      <c r="DY197" s="740"/>
      <c r="DZ197" s="740"/>
      <c r="EA197" s="740"/>
      <c r="EB197" s="740"/>
      <c r="EC197" s="740"/>
      <c r="ED197" s="740"/>
      <c r="EE197" s="740"/>
      <c r="EF197" s="740"/>
      <c r="EG197" s="740"/>
      <c r="EH197" s="740"/>
      <c r="EI197" s="740"/>
      <c r="EJ197" s="740"/>
      <c r="EK197" s="740"/>
      <c r="EL197" s="740"/>
      <c r="EM197" s="740"/>
      <c r="EN197" s="740"/>
      <c r="EO197" s="740"/>
      <c r="EP197" s="740"/>
      <c r="EQ197" s="740"/>
      <c r="ER197" s="740"/>
      <c r="ES197" s="740"/>
      <c r="ET197" s="740"/>
      <c r="EU197" s="740"/>
      <c r="EV197" s="740"/>
      <c r="EW197" s="740"/>
      <c r="EX197" s="740"/>
      <c r="EY197" s="740"/>
      <c r="EZ197" s="740"/>
      <c r="FA197" s="740"/>
      <c r="FB197" s="740"/>
      <c r="FC197" s="740"/>
      <c r="FD197" s="740"/>
      <c r="FE197" s="740"/>
      <c r="FF197" s="740"/>
      <c r="FG197" s="740"/>
      <c r="FH197" s="740"/>
      <c r="FI197" s="740"/>
      <c r="FJ197" s="740"/>
      <c r="FK197" s="740"/>
      <c r="FL197" s="740"/>
      <c r="FM197" s="740"/>
      <c r="FN197" s="740"/>
      <c r="FO197" s="740"/>
      <c r="FP197" s="740"/>
      <c r="FQ197" s="740"/>
      <c r="FR197" s="740"/>
      <c r="FS197" s="740"/>
      <c r="FT197" s="740"/>
      <c r="FU197" s="740"/>
      <c r="FV197" s="740"/>
      <c r="FW197" s="740"/>
      <c r="FX197" s="740"/>
      <c r="FY197" s="740"/>
      <c r="FZ197" s="740"/>
      <c r="GA197" s="740"/>
      <c r="GB197" s="740"/>
      <c r="GC197" s="740"/>
      <c r="GD197" s="740"/>
      <c r="GE197" s="740"/>
      <c r="GF197" s="740"/>
      <c r="GG197" s="740"/>
      <c r="GH197" s="740"/>
      <c r="GI197" s="740"/>
      <c r="GJ197" s="740"/>
      <c r="GK197" s="740"/>
      <c r="GL197" s="740"/>
      <c r="GM197" s="740"/>
      <c r="GN197" s="740"/>
      <c r="GO197" s="740"/>
      <c r="GP197" s="740"/>
      <c r="GQ197" s="740"/>
      <c r="GR197" s="740"/>
      <c r="GS197" s="740"/>
      <c r="GT197" s="740"/>
      <c r="GU197" s="740"/>
      <c r="GV197" s="740"/>
      <c r="GW197" s="740"/>
    </row>
    <row r="198" spans="5:205" ht="24" customHeight="1" x14ac:dyDescent="0.2">
      <c r="R198" s="740"/>
      <c r="S198" s="740"/>
      <c r="T198" s="740"/>
      <c r="U198" s="740"/>
      <c r="V198" s="740"/>
      <c r="W198" s="740"/>
      <c r="X198" s="740"/>
      <c r="Y198" s="740"/>
      <c r="Z198" s="740"/>
      <c r="AA198" s="740"/>
      <c r="AB198" s="740"/>
      <c r="AC198" s="740"/>
      <c r="AD198" s="740"/>
      <c r="AE198" s="740"/>
      <c r="AF198" s="740"/>
      <c r="AG198" s="740"/>
      <c r="AH198" s="740"/>
      <c r="AI198" s="740"/>
      <c r="AJ198" s="740"/>
      <c r="AK198" s="740"/>
      <c r="AL198" s="740"/>
      <c r="AM198" s="740"/>
      <c r="AN198" s="740"/>
      <c r="AO198" s="740"/>
      <c r="AP198" s="740"/>
      <c r="AQ198" s="740"/>
      <c r="AR198" s="740"/>
      <c r="AS198" s="740"/>
      <c r="AT198" s="740"/>
      <c r="AU198" s="740"/>
      <c r="AV198" s="740"/>
      <c r="AW198" s="740"/>
      <c r="AX198" s="740"/>
      <c r="AY198" s="740"/>
      <c r="AZ198" s="740"/>
      <c r="BA198" s="740"/>
      <c r="BB198" s="740"/>
      <c r="BC198" s="740"/>
      <c r="BD198" s="740"/>
      <c r="BE198" s="740"/>
      <c r="BF198" s="740"/>
      <c r="BG198" s="740"/>
      <c r="BH198" s="740"/>
      <c r="BI198" s="740"/>
      <c r="BJ198" s="740"/>
      <c r="BK198" s="740"/>
      <c r="BL198" s="740"/>
      <c r="BM198" s="740"/>
      <c r="BN198" s="740"/>
      <c r="BO198" s="740"/>
      <c r="BP198" s="740"/>
      <c r="BQ198" s="740"/>
      <c r="BR198" s="740"/>
      <c r="BS198" s="740"/>
      <c r="BT198" s="740"/>
      <c r="BU198" s="740"/>
      <c r="BV198" s="740"/>
      <c r="BW198" s="740"/>
      <c r="BX198" s="740"/>
      <c r="BY198" s="740"/>
      <c r="BZ198" s="740"/>
      <c r="CA198" s="740"/>
      <c r="CB198" s="740"/>
      <c r="CC198" s="740"/>
      <c r="CD198" s="740"/>
      <c r="CE198" s="740"/>
      <c r="CF198" s="740"/>
      <c r="CG198" s="740"/>
      <c r="CH198" s="740"/>
      <c r="CI198" s="740"/>
      <c r="CJ198" s="740"/>
      <c r="CK198" s="740"/>
      <c r="CL198" s="740"/>
      <c r="CM198" s="740"/>
      <c r="CN198" s="740"/>
      <c r="CO198" s="740"/>
      <c r="CP198" s="740"/>
      <c r="CQ198" s="740"/>
      <c r="CR198" s="740"/>
      <c r="CS198" s="740"/>
      <c r="CT198" s="740"/>
      <c r="CU198" s="740"/>
      <c r="CV198" s="740"/>
      <c r="CW198" s="740"/>
      <c r="CX198" s="740"/>
      <c r="CY198" s="740"/>
      <c r="CZ198" s="740"/>
      <c r="DA198" s="740"/>
      <c r="DB198" s="740"/>
      <c r="DC198" s="740"/>
      <c r="DD198" s="740"/>
      <c r="DE198" s="740"/>
      <c r="DF198" s="740"/>
      <c r="DG198" s="740"/>
      <c r="DH198" s="740"/>
      <c r="DI198" s="740"/>
      <c r="DJ198" s="740"/>
      <c r="DK198" s="740"/>
      <c r="DL198" s="740"/>
      <c r="DM198" s="740"/>
      <c r="DN198" s="740"/>
      <c r="DO198" s="740"/>
      <c r="DP198" s="740"/>
      <c r="DQ198" s="740"/>
      <c r="DR198" s="740"/>
      <c r="DS198" s="740"/>
      <c r="DT198" s="740"/>
      <c r="DU198" s="740"/>
      <c r="DV198" s="740"/>
      <c r="DW198" s="740"/>
      <c r="DX198" s="740"/>
      <c r="DY198" s="740"/>
      <c r="DZ198" s="740"/>
      <c r="EA198" s="740"/>
      <c r="EB198" s="740"/>
      <c r="EC198" s="740"/>
      <c r="ED198" s="740"/>
      <c r="EE198" s="740"/>
      <c r="EF198" s="740"/>
      <c r="EG198" s="740"/>
      <c r="EH198" s="740"/>
      <c r="EI198" s="740"/>
      <c r="EJ198" s="740"/>
      <c r="EK198" s="740"/>
      <c r="EL198" s="740"/>
      <c r="EM198" s="740"/>
      <c r="EN198" s="740"/>
      <c r="EO198" s="740"/>
      <c r="EP198" s="740"/>
      <c r="EQ198" s="740"/>
      <c r="ER198" s="740"/>
      <c r="ES198" s="740"/>
      <c r="ET198" s="740"/>
      <c r="EU198" s="740"/>
      <c r="EV198" s="740"/>
      <c r="EW198" s="740"/>
      <c r="EX198" s="740"/>
      <c r="EY198" s="740"/>
      <c r="EZ198" s="740"/>
      <c r="FA198" s="740"/>
      <c r="FB198" s="740"/>
      <c r="FC198" s="740"/>
      <c r="FD198" s="740"/>
      <c r="FE198" s="740"/>
      <c r="FF198" s="740"/>
      <c r="FG198" s="740"/>
      <c r="FH198" s="740"/>
      <c r="FI198" s="740"/>
      <c r="FJ198" s="740"/>
      <c r="FK198" s="740"/>
      <c r="FL198" s="740"/>
      <c r="FM198" s="740"/>
      <c r="FN198" s="740"/>
      <c r="FO198" s="740"/>
      <c r="FP198" s="740"/>
      <c r="FQ198" s="740"/>
      <c r="FR198" s="740"/>
      <c r="FS198" s="740"/>
      <c r="FT198" s="740"/>
      <c r="FU198" s="740"/>
      <c r="FV198" s="740"/>
      <c r="FW198" s="740"/>
      <c r="FX198" s="740"/>
      <c r="FY198" s="740"/>
      <c r="FZ198" s="740"/>
      <c r="GA198" s="740"/>
      <c r="GB198" s="740"/>
      <c r="GC198" s="740"/>
      <c r="GD198" s="740"/>
      <c r="GE198" s="740"/>
      <c r="GF198" s="740"/>
      <c r="GG198" s="740"/>
      <c r="GH198" s="740"/>
      <c r="GI198" s="740"/>
      <c r="GJ198" s="740"/>
      <c r="GK198" s="740"/>
      <c r="GL198" s="740"/>
      <c r="GM198" s="740"/>
      <c r="GN198" s="740"/>
      <c r="GO198" s="740"/>
      <c r="GP198" s="740"/>
      <c r="GQ198" s="740"/>
      <c r="GR198" s="740"/>
      <c r="GS198" s="740"/>
      <c r="GT198" s="740"/>
      <c r="GU198" s="740"/>
      <c r="GV198" s="740"/>
      <c r="GW198" s="740"/>
    </row>
    <row r="199" spans="5:205" ht="24" customHeight="1" x14ac:dyDescent="0.2">
      <c r="R199" s="740"/>
      <c r="S199" s="740"/>
      <c r="T199" s="740"/>
      <c r="U199" s="740"/>
      <c r="V199" s="740"/>
      <c r="W199" s="740"/>
      <c r="X199" s="740"/>
      <c r="Y199" s="740"/>
      <c r="Z199" s="740"/>
      <c r="AA199" s="740"/>
      <c r="AB199" s="740"/>
      <c r="AC199" s="740"/>
      <c r="AD199" s="740"/>
      <c r="AE199" s="740"/>
      <c r="AF199" s="740"/>
      <c r="AG199" s="740"/>
      <c r="AH199" s="740"/>
      <c r="AI199" s="740"/>
      <c r="AJ199" s="740"/>
      <c r="AK199" s="740"/>
      <c r="AL199" s="740"/>
      <c r="AM199" s="740"/>
      <c r="AN199" s="740"/>
      <c r="AO199" s="740"/>
      <c r="AP199" s="740"/>
      <c r="AQ199" s="740"/>
      <c r="AR199" s="740"/>
      <c r="AS199" s="740"/>
      <c r="AT199" s="740"/>
      <c r="AU199" s="740"/>
      <c r="AV199" s="740"/>
      <c r="AW199" s="740"/>
      <c r="AX199" s="740"/>
      <c r="AY199" s="740"/>
      <c r="AZ199" s="740"/>
      <c r="BA199" s="740"/>
      <c r="BB199" s="740"/>
      <c r="BC199" s="740"/>
      <c r="BD199" s="740"/>
      <c r="BE199" s="740"/>
      <c r="BF199" s="740"/>
      <c r="BG199" s="740"/>
      <c r="BH199" s="740"/>
      <c r="BI199" s="740"/>
      <c r="BJ199" s="740"/>
      <c r="BK199" s="740"/>
      <c r="BL199" s="740"/>
      <c r="BM199" s="740"/>
      <c r="BN199" s="740"/>
      <c r="BO199" s="740"/>
      <c r="BP199" s="740"/>
      <c r="BQ199" s="740"/>
      <c r="BR199" s="740"/>
      <c r="BS199" s="740"/>
      <c r="BT199" s="740"/>
      <c r="BU199" s="740"/>
      <c r="BV199" s="740"/>
      <c r="BW199" s="740"/>
      <c r="BX199" s="740"/>
      <c r="BY199" s="740"/>
      <c r="BZ199" s="740"/>
      <c r="CA199" s="740"/>
      <c r="CB199" s="740"/>
      <c r="CC199" s="740"/>
      <c r="CD199" s="740"/>
      <c r="CE199" s="740"/>
      <c r="CF199" s="740"/>
      <c r="CG199" s="740"/>
      <c r="CH199" s="740"/>
      <c r="CI199" s="740"/>
      <c r="CJ199" s="740"/>
      <c r="CK199" s="740"/>
      <c r="CL199" s="740"/>
      <c r="CM199" s="740"/>
      <c r="CN199" s="740"/>
      <c r="CO199" s="740"/>
      <c r="CP199" s="740"/>
      <c r="CQ199" s="740"/>
      <c r="CR199" s="740"/>
      <c r="CS199" s="740"/>
      <c r="CT199" s="740"/>
      <c r="CU199" s="740"/>
      <c r="CV199" s="740"/>
      <c r="CW199" s="740"/>
      <c r="CX199" s="740"/>
      <c r="CY199" s="740"/>
      <c r="CZ199" s="740"/>
      <c r="DA199" s="740"/>
      <c r="DB199" s="740"/>
      <c r="DC199" s="740"/>
      <c r="DD199" s="740"/>
      <c r="DE199" s="740"/>
      <c r="DF199" s="740"/>
      <c r="DG199" s="740"/>
      <c r="DH199" s="740"/>
      <c r="DI199" s="740"/>
      <c r="DJ199" s="740"/>
      <c r="DK199" s="740"/>
      <c r="DL199" s="740"/>
      <c r="DM199" s="740"/>
      <c r="DN199" s="740"/>
      <c r="DO199" s="740"/>
      <c r="DP199" s="740"/>
      <c r="DQ199" s="740"/>
      <c r="DR199" s="740"/>
      <c r="DS199" s="740"/>
      <c r="DT199" s="740"/>
      <c r="DU199" s="740"/>
      <c r="DV199" s="740"/>
      <c r="DW199" s="740"/>
      <c r="DX199" s="740"/>
      <c r="DY199" s="740"/>
      <c r="DZ199" s="740"/>
      <c r="EA199" s="740"/>
      <c r="EB199" s="740"/>
      <c r="EC199" s="740"/>
      <c r="ED199" s="740"/>
      <c r="EE199" s="740"/>
      <c r="EF199" s="740"/>
      <c r="EG199" s="740"/>
      <c r="EH199" s="740"/>
      <c r="EI199" s="740"/>
      <c r="EJ199" s="740"/>
      <c r="EK199" s="740"/>
      <c r="EL199" s="740"/>
      <c r="EM199" s="740"/>
      <c r="EN199" s="740"/>
      <c r="EO199" s="740"/>
      <c r="EP199" s="740"/>
      <c r="EQ199" s="740"/>
      <c r="ER199" s="740"/>
      <c r="ES199" s="740"/>
      <c r="ET199" s="740"/>
      <c r="EU199" s="740"/>
      <c r="EV199" s="740"/>
      <c r="EW199" s="740"/>
      <c r="EX199" s="740"/>
      <c r="EY199" s="740"/>
      <c r="EZ199" s="740"/>
      <c r="FA199" s="740"/>
      <c r="FB199" s="740"/>
      <c r="FC199" s="740"/>
      <c r="FD199" s="740"/>
      <c r="FE199" s="740"/>
      <c r="FF199" s="740"/>
      <c r="FG199" s="740"/>
      <c r="FH199" s="740"/>
      <c r="FI199" s="740"/>
      <c r="FJ199" s="740"/>
      <c r="FK199" s="740"/>
      <c r="FL199" s="740"/>
      <c r="FM199" s="740"/>
      <c r="FN199" s="740"/>
      <c r="FO199" s="740"/>
      <c r="FP199" s="740"/>
      <c r="FQ199" s="740"/>
      <c r="FR199" s="740"/>
      <c r="FS199" s="740"/>
      <c r="FT199" s="740"/>
      <c r="FU199" s="740"/>
      <c r="FV199" s="740"/>
      <c r="FW199" s="740"/>
      <c r="FX199" s="740"/>
      <c r="FY199" s="740"/>
      <c r="FZ199" s="740"/>
      <c r="GA199" s="740"/>
      <c r="GB199" s="740"/>
      <c r="GC199" s="740"/>
      <c r="GD199" s="740"/>
      <c r="GE199" s="740"/>
      <c r="GF199" s="740"/>
      <c r="GG199" s="740"/>
      <c r="GH199" s="740"/>
      <c r="GI199" s="740"/>
      <c r="GJ199" s="740"/>
      <c r="GK199" s="740"/>
      <c r="GL199" s="740"/>
      <c r="GM199" s="740"/>
      <c r="GN199" s="740"/>
      <c r="GO199" s="740"/>
      <c r="GP199" s="740"/>
      <c r="GQ199" s="740"/>
      <c r="GR199" s="740"/>
      <c r="GS199" s="740"/>
      <c r="GT199" s="740"/>
      <c r="GU199" s="740"/>
      <c r="GV199" s="740"/>
      <c r="GW199" s="740"/>
    </row>
    <row r="200" spans="5:205" ht="24" customHeight="1" x14ac:dyDescent="0.2">
      <c r="R200" s="740"/>
      <c r="S200" s="740"/>
      <c r="T200" s="740"/>
      <c r="U200" s="740"/>
      <c r="V200" s="740"/>
      <c r="W200" s="740"/>
      <c r="X200" s="740"/>
      <c r="Y200" s="740"/>
      <c r="Z200" s="740"/>
      <c r="AA200" s="740"/>
      <c r="AB200" s="740"/>
      <c r="AC200" s="740"/>
      <c r="AD200" s="740"/>
      <c r="AE200" s="740"/>
      <c r="AF200" s="740"/>
      <c r="AG200" s="740"/>
      <c r="AH200" s="740"/>
      <c r="AI200" s="740"/>
      <c r="AJ200" s="740"/>
      <c r="AK200" s="740"/>
      <c r="AL200" s="740"/>
      <c r="AM200" s="740"/>
      <c r="AN200" s="740"/>
      <c r="AO200" s="740"/>
      <c r="AP200" s="740"/>
      <c r="AQ200" s="740"/>
      <c r="AR200" s="740"/>
      <c r="AS200" s="740"/>
      <c r="AT200" s="740"/>
      <c r="AU200" s="740"/>
      <c r="AV200" s="740"/>
      <c r="AW200" s="740"/>
      <c r="AX200" s="740"/>
      <c r="AY200" s="740"/>
      <c r="AZ200" s="740"/>
      <c r="BA200" s="740"/>
      <c r="BB200" s="740"/>
      <c r="BC200" s="740"/>
      <c r="BD200" s="740"/>
      <c r="BE200" s="740"/>
      <c r="BF200" s="740"/>
      <c r="BG200" s="740"/>
      <c r="BH200" s="740"/>
      <c r="BI200" s="740"/>
      <c r="BJ200" s="740"/>
      <c r="BK200" s="740"/>
      <c r="BL200" s="740"/>
      <c r="BM200" s="740"/>
      <c r="BN200" s="740"/>
      <c r="BO200" s="740"/>
      <c r="BP200" s="740"/>
      <c r="BQ200" s="740"/>
      <c r="BR200" s="740"/>
      <c r="BS200" s="740"/>
      <c r="BT200" s="740"/>
      <c r="BU200" s="740"/>
      <c r="BV200" s="740"/>
      <c r="BW200" s="740"/>
      <c r="BX200" s="740"/>
      <c r="BY200" s="740"/>
      <c r="BZ200" s="740"/>
      <c r="CA200" s="740"/>
      <c r="CB200" s="740"/>
      <c r="CC200" s="740"/>
      <c r="CD200" s="740"/>
      <c r="CE200" s="740"/>
      <c r="CF200" s="740"/>
      <c r="CG200" s="740"/>
      <c r="CH200" s="740"/>
      <c r="CI200" s="740"/>
      <c r="CJ200" s="740"/>
      <c r="CK200" s="740"/>
      <c r="CL200" s="740"/>
      <c r="CM200" s="740"/>
      <c r="CN200" s="740"/>
      <c r="CO200" s="740"/>
      <c r="CP200" s="740"/>
      <c r="CQ200" s="740"/>
      <c r="CR200" s="740"/>
      <c r="CS200" s="740"/>
      <c r="CT200" s="740"/>
      <c r="CU200" s="740"/>
      <c r="CV200" s="740"/>
      <c r="CW200" s="740"/>
      <c r="CX200" s="740"/>
      <c r="CY200" s="740"/>
      <c r="CZ200" s="740"/>
      <c r="DA200" s="740"/>
      <c r="DB200" s="740"/>
      <c r="DC200" s="740"/>
      <c r="DD200" s="740"/>
      <c r="DE200" s="740"/>
      <c r="DF200" s="740"/>
      <c r="DG200" s="740"/>
      <c r="DH200" s="740"/>
      <c r="DI200" s="740"/>
      <c r="DJ200" s="740"/>
      <c r="DK200" s="740"/>
      <c r="DL200" s="740"/>
      <c r="DM200" s="740"/>
      <c r="DN200" s="740"/>
      <c r="DO200" s="740"/>
      <c r="DP200" s="740"/>
      <c r="DQ200" s="740"/>
      <c r="DR200" s="740"/>
      <c r="DS200" s="740"/>
      <c r="DT200" s="740"/>
      <c r="DU200" s="740"/>
      <c r="DV200" s="740"/>
      <c r="DW200" s="740"/>
      <c r="DX200" s="740"/>
      <c r="DY200" s="740"/>
      <c r="DZ200" s="740"/>
      <c r="EA200" s="740"/>
      <c r="EB200" s="740"/>
      <c r="EC200" s="740"/>
      <c r="ED200" s="740"/>
      <c r="EE200" s="740"/>
      <c r="EF200" s="740"/>
      <c r="EG200" s="740"/>
      <c r="EH200" s="740"/>
      <c r="EI200" s="740"/>
      <c r="EJ200" s="740"/>
      <c r="EK200" s="740"/>
      <c r="EL200" s="740"/>
      <c r="EM200" s="740"/>
      <c r="EN200" s="740"/>
      <c r="EO200" s="740"/>
      <c r="EP200" s="740"/>
      <c r="EQ200" s="740"/>
      <c r="ER200" s="740"/>
      <c r="ES200" s="740"/>
      <c r="ET200" s="740"/>
      <c r="EU200" s="740"/>
      <c r="EV200" s="740"/>
      <c r="EW200" s="740"/>
      <c r="EX200" s="740"/>
      <c r="EY200" s="740"/>
      <c r="EZ200" s="740"/>
      <c r="FA200" s="740"/>
      <c r="FB200" s="740"/>
      <c r="FC200" s="740"/>
      <c r="FD200" s="740"/>
      <c r="FE200" s="740"/>
      <c r="FF200" s="740"/>
      <c r="FG200" s="740"/>
      <c r="FH200" s="740"/>
      <c r="FI200" s="740"/>
      <c r="FJ200" s="740"/>
      <c r="FK200" s="740"/>
      <c r="FL200" s="740"/>
      <c r="FM200" s="740"/>
      <c r="FN200" s="740"/>
      <c r="FO200" s="740"/>
      <c r="FP200" s="740"/>
      <c r="FQ200" s="740"/>
      <c r="FR200" s="740"/>
      <c r="FS200" s="740"/>
      <c r="FT200" s="740"/>
      <c r="FU200" s="740"/>
      <c r="FV200" s="740"/>
      <c r="FW200" s="740"/>
      <c r="FX200" s="740"/>
      <c r="FY200" s="740"/>
      <c r="FZ200" s="740"/>
      <c r="GA200" s="740"/>
      <c r="GB200" s="740"/>
      <c r="GC200" s="740"/>
      <c r="GD200" s="740"/>
      <c r="GE200" s="740"/>
      <c r="GF200" s="740"/>
      <c r="GG200" s="740"/>
      <c r="GH200" s="740"/>
      <c r="GI200" s="740"/>
      <c r="GJ200" s="740"/>
      <c r="GK200" s="740"/>
      <c r="GL200" s="740"/>
      <c r="GM200" s="740"/>
      <c r="GN200" s="740"/>
      <c r="GO200" s="740"/>
      <c r="GP200" s="740"/>
      <c r="GQ200" s="740"/>
      <c r="GR200" s="740"/>
      <c r="GS200" s="740"/>
      <c r="GT200" s="740"/>
      <c r="GU200" s="740"/>
      <c r="GV200" s="740"/>
      <c r="GW200" s="740"/>
    </row>
    <row r="201" spans="5:205" ht="24" customHeight="1" x14ac:dyDescent="0.2">
      <c r="R201" s="740"/>
      <c r="S201" s="740"/>
      <c r="T201" s="740"/>
      <c r="U201" s="740"/>
      <c r="V201" s="740"/>
      <c r="W201" s="740"/>
      <c r="X201" s="740"/>
      <c r="Y201" s="740"/>
      <c r="Z201" s="740"/>
      <c r="AA201" s="740"/>
      <c r="AB201" s="740"/>
      <c r="AC201" s="740"/>
      <c r="AD201" s="740"/>
      <c r="AE201" s="740"/>
      <c r="AF201" s="740"/>
      <c r="AG201" s="740"/>
      <c r="AH201" s="740"/>
      <c r="AI201" s="740"/>
      <c r="AJ201" s="740"/>
      <c r="AK201" s="740"/>
      <c r="AL201" s="740"/>
      <c r="AM201" s="740"/>
      <c r="AN201" s="740"/>
      <c r="AO201" s="740"/>
      <c r="AP201" s="740"/>
      <c r="AQ201" s="740"/>
      <c r="AR201" s="740"/>
      <c r="AS201" s="740"/>
      <c r="AT201" s="740"/>
      <c r="AU201" s="740"/>
      <c r="AV201" s="740"/>
      <c r="AW201" s="740"/>
      <c r="AX201" s="740"/>
      <c r="AY201" s="740"/>
      <c r="AZ201" s="740"/>
      <c r="BA201" s="740"/>
      <c r="BB201" s="740"/>
      <c r="BC201" s="740"/>
      <c r="BD201" s="740"/>
      <c r="BE201" s="740"/>
      <c r="BF201" s="740"/>
      <c r="BG201" s="740"/>
      <c r="BH201" s="740"/>
      <c r="BI201" s="740"/>
      <c r="BJ201" s="740"/>
      <c r="BK201" s="740"/>
      <c r="BL201" s="740"/>
      <c r="BM201" s="740"/>
      <c r="BN201" s="740"/>
      <c r="BO201" s="740"/>
      <c r="BP201" s="740"/>
      <c r="BQ201" s="740"/>
      <c r="BR201" s="740"/>
      <c r="BS201" s="740"/>
      <c r="BT201" s="740"/>
      <c r="BU201" s="740"/>
      <c r="BV201" s="740"/>
      <c r="BW201" s="740"/>
      <c r="BX201" s="740"/>
      <c r="BY201" s="740"/>
      <c r="BZ201" s="740"/>
      <c r="CA201" s="740"/>
      <c r="CB201" s="740"/>
      <c r="CC201" s="740"/>
      <c r="CD201" s="740"/>
      <c r="CE201" s="740"/>
      <c r="CF201" s="740"/>
      <c r="CG201" s="740"/>
      <c r="CH201" s="740"/>
      <c r="CI201" s="740"/>
      <c r="CJ201" s="740"/>
      <c r="CK201" s="740"/>
      <c r="CL201" s="740"/>
      <c r="CM201" s="740"/>
      <c r="CN201" s="740"/>
      <c r="CO201" s="740"/>
      <c r="CP201" s="740"/>
      <c r="CQ201" s="740"/>
      <c r="CR201" s="740"/>
      <c r="CS201" s="740"/>
      <c r="CT201" s="740"/>
      <c r="CU201" s="740"/>
      <c r="CV201" s="740"/>
      <c r="CW201" s="740"/>
      <c r="CX201" s="740"/>
      <c r="CY201" s="740"/>
      <c r="CZ201" s="740"/>
      <c r="DA201" s="740"/>
      <c r="DB201" s="740"/>
      <c r="DC201" s="740"/>
      <c r="DD201" s="740"/>
      <c r="DE201" s="740"/>
      <c r="DF201" s="740"/>
      <c r="DG201" s="740"/>
      <c r="DH201" s="740"/>
      <c r="DI201" s="740"/>
      <c r="DJ201" s="740"/>
      <c r="DK201" s="740"/>
      <c r="DL201" s="740"/>
      <c r="DM201" s="740"/>
      <c r="DN201" s="740"/>
      <c r="DO201" s="740"/>
      <c r="DP201" s="740"/>
      <c r="DQ201" s="740"/>
      <c r="DR201" s="740"/>
      <c r="DS201" s="740"/>
      <c r="DT201" s="740"/>
      <c r="DU201" s="740"/>
      <c r="DV201" s="740"/>
      <c r="DW201" s="740"/>
      <c r="DX201" s="740"/>
      <c r="DY201" s="740"/>
      <c r="DZ201" s="740"/>
      <c r="EA201" s="740"/>
      <c r="EB201" s="740"/>
      <c r="EC201" s="740"/>
      <c r="ED201" s="740"/>
      <c r="EE201" s="740"/>
      <c r="EF201" s="740"/>
      <c r="EG201" s="740"/>
      <c r="EH201" s="740"/>
      <c r="EI201" s="740"/>
      <c r="EJ201" s="740"/>
      <c r="EK201" s="740"/>
      <c r="EL201" s="740"/>
      <c r="EM201" s="740"/>
      <c r="EN201" s="740"/>
      <c r="EO201" s="740"/>
      <c r="EP201" s="740"/>
      <c r="EQ201" s="740"/>
      <c r="ER201" s="740"/>
      <c r="ES201" s="740"/>
      <c r="ET201" s="740"/>
      <c r="EU201" s="740"/>
      <c r="EV201" s="740"/>
      <c r="EW201" s="740"/>
      <c r="EX201" s="740"/>
      <c r="EY201" s="740"/>
      <c r="EZ201" s="740"/>
      <c r="FA201" s="740"/>
      <c r="FB201" s="740"/>
      <c r="FC201" s="740"/>
      <c r="FD201" s="740"/>
      <c r="FE201" s="740"/>
      <c r="FF201" s="740"/>
      <c r="FG201" s="740"/>
      <c r="FH201" s="740"/>
      <c r="FI201" s="740"/>
      <c r="FJ201" s="740"/>
      <c r="FK201" s="740"/>
      <c r="FL201" s="740"/>
      <c r="FM201" s="740"/>
      <c r="FN201" s="740"/>
      <c r="FO201" s="740"/>
      <c r="FP201" s="740"/>
      <c r="FQ201" s="740"/>
      <c r="FR201" s="740"/>
      <c r="FS201" s="740"/>
      <c r="FT201" s="740"/>
      <c r="FU201" s="740"/>
      <c r="FV201" s="740"/>
      <c r="FW201" s="740"/>
      <c r="FX201" s="740"/>
      <c r="FY201" s="740"/>
      <c r="FZ201" s="740"/>
      <c r="GA201" s="740"/>
      <c r="GB201" s="740"/>
      <c r="GC201" s="740"/>
      <c r="GD201" s="740"/>
      <c r="GE201" s="740"/>
      <c r="GF201" s="740"/>
      <c r="GG201" s="740"/>
      <c r="GH201" s="740"/>
      <c r="GI201" s="740"/>
      <c r="GJ201" s="740"/>
      <c r="GK201" s="740"/>
      <c r="GL201" s="740"/>
      <c r="GM201" s="740"/>
      <c r="GN201" s="740"/>
      <c r="GO201" s="740"/>
      <c r="GP201" s="740"/>
      <c r="GQ201" s="740"/>
      <c r="GR201" s="740"/>
      <c r="GS201" s="740"/>
      <c r="GT201" s="740"/>
      <c r="GU201" s="740"/>
      <c r="GV201" s="740"/>
      <c r="GW201" s="740"/>
    </row>
    <row r="202" spans="5:205" ht="24" customHeight="1" x14ac:dyDescent="0.2">
      <c r="R202" s="740"/>
      <c r="S202" s="740"/>
      <c r="T202" s="740"/>
      <c r="U202" s="740"/>
      <c r="V202" s="740"/>
      <c r="W202" s="740"/>
      <c r="X202" s="740"/>
      <c r="Y202" s="740"/>
      <c r="Z202" s="740"/>
      <c r="AA202" s="740"/>
      <c r="AB202" s="740"/>
      <c r="AC202" s="740"/>
      <c r="AD202" s="740"/>
      <c r="AE202" s="740"/>
      <c r="AF202" s="740"/>
      <c r="AG202" s="740"/>
      <c r="AH202" s="740"/>
      <c r="AI202" s="740"/>
      <c r="AJ202" s="740"/>
      <c r="AK202" s="740"/>
      <c r="AL202" s="740"/>
      <c r="AM202" s="740"/>
      <c r="AN202" s="740"/>
      <c r="AO202" s="740"/>
      <c r="AP202" s="740"/>
      <c r="AQ202" s="740"/>
      <c r="AR202" s="740"/>
      <c r="AS202" s="740"/>
      <c r="AT202" s="740"/>
      <c r="AU202" s="740"/>
      <c r="AV202" s="740"/>
      <c r="AW202" s="740"/>
      <c r="AX202" s="740"/>
      <c r="AY202" s="740"/>
      <c r="AZ202" s="740"/>
      <c r="BA202" s="740"/>
      <c r="BB202" s="740"/>
      <c r="BC202" s="740"/>
      <c r="BD202" s="740"/>
      <c r="BE202" s="740"/>
      <c r="BF202" s="740"/>
      <c r="BG202" s="740"/>
      <c r="BH202" s="740"/>
      <c r="BI202" s="740"/>
      <c r="BJ202" s="740"/>
      <c r="BK202" s="740"/>
      <c r="BL202" s="740"/>
      <c r="BM202" s="740"/>
      <c r="BN202" s="740"/>
      <c r="BO202" s="740"/>
      <c r="BP202" s="740"/>
      <c r="BQ202" s="740"/>
      <c r="BR202" s="740"/>
      <c r="BS202" s="740"/>
      <c r="BT202" s="740"/>
      <c r="BU202" s="740"/>
      <c r="BV202" s="740"/>
      <c r="BW202" s="740"/>
      <c r="BX202" s="740"/>
      <c r="BY202" s="740"/>
      <c r="BZ202" s="740"/>
      <c r="CA202" s="740"/>
      <c r="CB202" s="740"/>
      <c r="CC202" s="740"/>
      <c r="CD202" s="740"/>
      <c r="CE202" s="740"/>
      <c r="CF202" s="740"/>
      <c r="CG202" s="740"/>
      <c r="CH202" s="740"/>
      <c r="CI202" s="740"/>
      <c r="CJ202" s="740"/>
      <c r="CK202" s="740"/>
      <c r="CL202" s="740"/>
      <c r="CM202" s="740"/>
      <c r="CN202" s="740"/>
      <c r="CO202" s="740"/>
      <c r="CP202" s="740"/>
      <c r="CQ202" s="740"/>
      <c r="CR202" s="740"/>
      <c r="CS202" s="740"/>
      <c r="CT202" s="740"/>
      <c r="CU202" s="740"/>
      <c r="CV202" s="740"/>
      <c r="CW202" s="740"/>
      <c r="CX202" s="740"/>
      <c r="CY202" s="740"/>
      <c r="CZ202" s="740"/>
      <c r="DA202" s="740"/>
      <c r="DB202" s="740"/>
      <c r="DC202" s="740"/>
      <c r="DD202" s="740"/>
      <c r="DE202" s="740"/>
      <c r="DF202" s="740"/>
      <c r="DG202" s="740"/>
      <c r="DH202" s="740"/>
      <c r="DI202" s="740"/>
      <c r="DJ202" s="740"/>
      <c r="DK202" s="740"/>
      <c r="DL202" s="740"/>
      <c r="DM202" s="740"/>
      <c r="DN202" s="740"/>
      <c r="DO202" s="740"/>
      <c r="DP202" s="740"/>
      <c r="DQ202" s="740"/>
      <c r="DR202" s="740"/>
      <c r="DS202" s="740"/>
      <c r="DT202" s="740"/>
      <c r="DU202" s="740"/>
      <c r="DV202" s="740"/>
      <c r="DW202" s="740"/>
      <c r="DX202" s="740"/>
      <c r="DY202" s="740"/>
      <c r="DZ202" s="740"/>
      <c r="EA202" s="740"/>
      <c r="EB202" s="740"/>
      <c r="EC202" s="740"/>
      <c r="ED202" s="740"/>
      <c r="EE202" s="740"/>
      <c r="EF202" s="740"/>
      <c r="EG202" s="740"/>
      <c r="EH202" s="740"/>
      <c r="EI202" s="740"/>
      <c r="EJ202" s="740"/>
      <c r="EK202" s="740"/>
      <c r="EL202" s="740"/>
      <c r="EM202" s="740"/>
      <c r="EN202" s="740"/>
      <c r="EO202" s="740"/>
      <c r="EP202" s="740"/>
      <c r="EQ202" s="740"/>
      <c r="ER202" s="740"/>
      <c r="ES202" s="740"/>
      <c r="ET202" s="740"/>
      <c r="EU202" s="740"/>
      <c r="EV202" s="740"/>
      <c r="EW202" s="740"/>
      <c r="EX202" s="740"/>
      <c r="EY202" s="740"/>
      <c r="EZ202" s="740"/>
      <c r="FA202" s="740"/>
      <c r="FB202" s="740"/>
      <c r="FC202" s="740"/>
      <c r="FD202" s="740"/>
      <c r="FE202" s="740"/>
      <c r="FF202" s="740"/>
      <c r="FG202" s="740"/>
      <c r="FH202" s="740"/>
      <c r="FI202" s="740"/>
      <c r="FJ202" s="740"/>
      <c r="FK202" s="740"/>
      <c r="FL202" s="740"/>
      <c r="FM202" s="740"/>
      <c r="FN202" s="740"/>
      <c r="FO202" s="740"/>
      <c r="FP202" s="740"/>
      <c r="FQ202" s="740"/>
      <c r="FR202" s="740"/>
      <c r="FS202" s="740"/>
      <c r="FT202" s="740"/>
      <c r="FU202" s="740"/>
      <c r="FV202" s="740"/>
      <c r="FW202" s="740"/>
      <c r="FX202" s="740"/>
      <c r="FY202" s="740"/>
      <c r="FZ202" s="740"/>
      <c r="GA202" s="740"/>
      <c r="GB202" s="740"/>
      <c r="GC202" s="740"/>
      <c r="GD202" s="740"/>
      <c r="GE202" s="740"/>
      <c r="GF202" s="740"/>
      <c r="GG202" s="740"/>
      <c r="GH202" s="740"/>
      <c r="GI202" s="740"/>
      <c r="GJ202" s="740"/>
      <c r="GK202" s="740"/>
      <c r="GL202" s="740"/>
      <c r="GM202" s="740"/>
      <c r="GN202" s="740"/>
      <c r="GO202" s="740"/>
      <c r="GP202" s="740"/>
      <c r="GQ202" s="740"/>
      <c r="GR202" s="740"/>
      <c r="GS202" s="740"/>
      <c r="GT202" s="740"/>
      <c r="GU202" s="740"/>
      <c r="GV202" s="740"/>
      <c r="GW202" s="740"/>
    </row>
    <row r="203" spans="5:205" ht="24" customHeight="1" x14ac:dyDescent="0.2">
      <c r="R203" s="740"/>
      <c r="S203" s="740"/>
      <c r="T203" s="740"/>
      <c r="U203" s="740"/>
      <c r="V203" s="740"/>
      <c r="W203" s="740"/>
      <c r="X203" s="740"/>
      <c r="Y203" s="740"/>
      <c r="Z203" s="740"/>
      <c r="AA203" s="740"/>
      <c r="AB203" s="740"/>
      <c r="AC203" s="740"/>
      <c r="AD203" s="740"/>
      <c r="AE203" s="740"/>
      <c r="AF203" s="740"/>
      <c r="AG203" s="740"/>
      <c r="AH203" s="740"/>
      <c r="AI203" s="740"/>
      <c r="AJ203" s="740"/>
      <c r="AK203" s="740"/>
      <c r="AL203" s="740"/>
      <c r="AM203" s="740"/>
      <c r="AN203" s="740"/>
      <c r="AO203" s="740"/>
      <c r="AP203" s="740"/>
      <c r="AQ203" s="740"/>
      <c r="AR203" s="740"/>
      <c r="AS203" s="740"/>
      <c r="AT203" s="740"/>
      <c r="AU203" s="740"/>
      <c r="AV203" s="740"/>
      <c r="AW203" s="740"/>
      <c r="AX203" s="740"/>
      <c r="AY203" s="740"/>
      <c r="AZ203" s="740"/>
      <c r="BA203" s="740"/>
      <c r="BB203" s="740"/>
      <c r="BC203" s="740"/>
      <c r="BD203" s="740"/>
      <c r="BE203" s="740"/>
      <c r="BF203" s="740"/>
      <c r="BG203" s="740"/>
      <c r="BH203" s="740"/>
      <c r="BI203" s="740"/>
      <c r="BJ203" s="740"/>
      <c r="BK203" s="740"/>
      <c r="BL203" s="740"/>
      <c r="BM203" s="740"/>
      <c r="BN203" s="740"/>
      <c r="BO203" s="740"/>
      <c r="BP203" s="740"/>
      <c r="BQ203" s="740"/>
      <c r="BR203" s="740"/>
      <c r="BS203" s="740"/>
      <c r="BT203" s="740"/>
      <c r="BU203" s="740"/>
      <c r="BV203" s="740"/>
      <c r="BW203" s="740"/>
      <c r="BX203" s="740"/>
      <c r="BY203" s="740"/>
      <c r="BZ203" s="740"/>
      <c r="CA203" s="740"/>
      <c r="CB203" s="740"/>
      <c r="CC203" s="740"/>
      <c r="CD203" s="740"/>
      <c r="CE203" s="740"/>
      <c r="CF203" s="740"/>
      <c r="CG203" s="740"/>
      <c r="CH203" s="740"/>
      <c r="CI203" s="740"/>
      <c r="CJ203" s="740"/>
      <c r="CK203" s="740"/>
      <c r="CL203" s="740"/>
      <c r="CM203" s="740"/>
      <c r="CN203" s="740"/>
      <c r="CO203" s="740"/>
      <c r="CP203" s="740"/>
      <c r="CQ203" s="740"/>
      <c r="CR203" s="740"/>
      <c r="CS203" s="740"/>
      <c r="CT203" s="740"/>
      <c r="CU203" s="740"/>
      <c r="CV203" s="740"/>
      <c r="CW203" s="740"/>
      <c r="CX203" s="740"/>
      <c r="CY203" s="740"/>
      <c r="CZ203" s="740"/>
      <c r="DA203" s="740"/>
      <c r="DB203" s="740"/>
      <c r="DC203" s="740"/>
      <c r="DD203" s="740"/>
      <c r="DE203" s="740"/>
      <c r="DF203" s="740"/>
      <c r="DG203" s="740"/>
      <c r="DH203" s="740"/>
      <c r="DI203" s="740"/>
      <c r="DJ203" s="740"/>
      <c r="DK203" s="740"/>
      <c r="DL203" s="740"/>
      <c r="DM203" s="740"/>
      <c r="DN203" s="740"/>
      <c r="DO203" s="740"/>
      <c r="DP203" s="740"/>
      <c r="DQ203" s="740"/>
      <c r="DR203" s="740"/>
      <c r="DS203" s="740"/>
      <c r="DT203" s="740"/>
      <c r="DU203" s="740"/>
      <c r="DV203" s="740"/>
      <c r="DW203" s="740"/>
      <c r="DX203" s="740"/>
      <c r="DY203" s="740"/>
      <c r="DZ203" s="740"/>
      <c r="EA203" s="740"/>
      <c r="EB203" s="740"/>
      <c r="EC203" s="740"/>
      <c r="ED203" s="740"/>
      <c r="EE203" s="740"/>
      <c r="EF203" s="740"/>
      <c r="EG203" s="740"/>
      <c r="EH203" s="740"/>
      <c r="EI203" s="740"/>
      <c r="EJ203" s="740"/>
      <c r="EK203" s="740"/>
      <c r="EL203" s="740"/>
      <c r="EM203" s="740"/>
      <c r="EN203" s="740"/>
      <c r="EO203" s="740"/>
      <c r="EP203" s="740"/>
      <c r="EQ203" s="740"/>
      <c r="ER203" s="740"/>
      <c r="ES203" s="740"/>
      <c r="ET203" s="740"/>
      <c r="EU203" s="740"/>
      <c r="EV203" s="740"/>
      <c r="EW203" s="740"/>
      <c r="EX203" s="740"/>
      <c r="EY203" s="740"/>
      <c r="EZ203" s="740"/>
      <c r="FA203" s="740"/>
      <c r="FB203" s="740"/>
      <c r="FC203" s="740"/>
      <c r="FD203" s="740"/>
      <c r="FE203" s="740"/>
      <c r="FF203" s="740"/>
      <c r="FG203" s="740"/>
      <c r="FH203" s="740"/>
      <c r="FI203" s="740"/>
      <c r="FJ203" s="740"/>
      <c r="FK203" s="740"/>
      <c r="FL203" s="740"/>
      <c r="FM203" s="740"/>
      <c r="FN203" s="740"/>
      <c r="FO203" s="740"/>
      <c r="FP203" s="740"/>
      <c r="FQ203" s="740"/>
      <c r="FR203" s="740"/>
      <c r="FS203" s="740"/>
      <c r="FT203" s="740"/>
      <c r="FU203" s="740"/>
      <c r="FV203" s="740"/>
      <c r="FW203" s="740"/>
      <c r="FX203" s="740"/>
      <c r="FY203" s="740"/>
      <c r="FZ203" s="740"/>
      <c r="GA203" s="740"/>
      <c r="GB203" s="740"/>
      <c r="GC203" s="740"/>
      <c r="GD203" s="740"/>
      <c r="GE203" s="740"/>
      <c r="GF203" s="740"/>
      <c r="GG203" s="740"/>
      <c r="GH203" s="740"/>
      <c r="GI203" s="740"/>
      <c r="GJ203" s="740"/>
      <c r="GK203" s="740"/>
      <c r="GL203" s="740"/>
      <c r="GM203" s="740"/>
      <c r="GN203" s="740"/>
      <c r="GO203" s="740"/>
      <c r="GP203" s="740"/>
      <c r="GQ203" s="740"/>
      <c r="GR203" s="740"/>
      <c r="GS203" s="740"/>
      <c r="GT203" s="740"/>
      <c r="GU203" s="740"/>
      <c r="GV203" s="740"/>
      <c r="GW203" s="740"/>
    </row>
    <row r="204" spans="5:205" ht="24" customHeight="1" x14ac:dyDescent="0.2">
      <c r="R204" s="740"/>
      <c r="S204" s="740"/>
      <c r="T204" s="740"/>
      <c r="U204" s="740"/>
      <c r="V204" s="740"/>
      <c r="W204" s="740"/>
      <c r="X204" s="740"/>
      <c r="Y204" s="740"/>
      <c r="Z204" s="740"/>
      <c r="AA204" s="740"/>
      <c r="AB204" s="740"/>
      <c r="AC204" s="740"/>
      <c r="AD204" s="740"/>
      <c r="AE204" s="740"/>
      <c r="AF204" s="740"/>
      <c r="AG204" s="740"/>
      <c r="AH204" s="740"/>
      <c r="AI204" s="740"/>
      <c r="AJ204" s="740"/>
      <c r="AK204" s="740"/>
      <c r="AL204" s="740"/>
      <c r="AM204" s="740"/>
      <c r="AN204" s="740"/>
      <c r="AO204" s="740"/>
      <c r="AP204" s="740"/>
      <c r="AQ204" s="740"/>
      <c r="AR204" s="740"/>
      <c r="AS204" s="740"/>
      <c r="AT204" s="740"/>
      <c r="AU204" s="740"/>
      <c r="AV204" s="740"/>
      <c r="AW204" s="740"/>
      <c r="AX204" s="740"/>
      <c r="AY204" s="740"/>
      <c r="AZ204" s="740"/>
      <c r="BA204" s="740"/>
      <c r="BB204" s="740"/>
      <c r="BC204" s="740"/>
      <c r="BD204" s="740"/>
      <c r="BE204" s="740"/>
      <c r="BF204" s="740"/>
      <c r="BG204" s="740"/>
      <c r="BH204" s="740"/>
      <c r="BI204" s="740"/>
      <c r="BJ204" s="740"/>
      <c r="BK204" s="740"/>
      <c r="BL204" s="740"/>
      <c r="BM204" s="740"/>
      <c r="BN204" s="740"/>
      <c r="BO204" s="740"/>
      <c r="BP204" s="740"/>
      <c r="BQ204" s="740"/>
      <c r="BR204" s="740"/>
      <c r="BS204" s="740"/>
      <c r="BT204" s="740"/>
      <c r="BU204" s="740"/>
      <c r="BV204" s="740"/>
      <c r="BW204" s="740"/>
      <c r="BX204" s="740"/>
      <c r="BY204" s="740"/>
      <c r="BZ204" s="740"/>
      <c r="CA204" s="740"/>
      <c r="CB204" s="740"/>
      <c r="CC204" s="740"/>
      <c r="CD204" s="740"/>
      <c r="CE204" s="740"/>
      <c r="CF204" s="740"/>
      <c r="CG204" s="740"/>
      <c r="CH204" s="740"/>
      <c r="CI204" s="740"/>
      <c r="CJ204" s="740"/>
      <c r="CK204" s="740"/>
      <c r="CL204" s="740"/>
      <c r="CM204" s="740"/>
      <c r="CN204" s="740"/>
      <c r="CO204" s="740"/>
      <c r="CP204" s="740"/>
      <c r="CQ204" s="740"/>
      <c r="CR204" s="740"/>
      <c r="CS204" s="740"/>
      <c r="CT204" s="740"/>
      <c r="CU204" s="740"/>
      <c r="CV204" s="740"/>
      <c r="CW204" s="740"/>
      <c r="CX204" s="740"/>
      <c r="CY204" s="740"/>
      <c r="CZ204" s="740"/>
      <c r="DA204" s="740"/>
      <c r="DB204" s="740"/>
      <c r="DC204" s="740"/>
      <c r="DD204" s="740"/>
      <c r="DE204" s="740"/>
      <c r="DF204" s="740"/>
      <c r="DG204" s="740"/>
      <c r="DH204" s="740"/>
      <c r="DI204" s="740"/>
      <c r="DJ204" s="740"/>
      <c r="DK204" s="740"/>
      <c r="DL204" s="740"/>
      <c r="DM204" s="740"/>
      <c r="DN204" s="740"/>
      <c r="DO204" s="740"/>
      <c r="DP204" s="740"/>
      <c r="DQ204" s="740"/>
      <c r="DR204" s="740"/>
      <c r="DS204" s="740"/>
      <c r="DT204" s="740"/>
      <c r="DU204" s="740"/>
      <c r="DV204" s="740"/>
      <c r="DW204" s="740"/>
      <c r="DX204" s="740"/>
      <c r="DY204" s="740"/>
      <c r="DZ204" s="740"/>
      <c r="EA204" s="740"/>
      <c r="EB204" s="740"/>
      <c r="EC204" s="740"/>
      <c r="ED204" s="740"/>
      <c r="EE204" s="740"/>
      <c r="EF204" s="740"/>
      <c r="EG204" s="740"/>
      <c r="EH204" s="740"/>
      <c r="EI204" s="740"/>
      <c r="EJ204" s="740"/>
      <c r="EK204" s="740"/>
      <c r="EL204" s="740"/>
      <c r="EM204" s="740"/>
      <c r="EN204" s="740"/>
      <c r="EO204" s="740"/>
      <c r="EP204" s="740"/>
      <c r="EQ204" s="740"/>
      <c r="ER204" s="740"/>
      <c r="ES204" s="740"/>
      <c r="ET204" s="740"/>
      <c r="EU204" s="740"/>
      <c r="EV204" s="740"/>
      <c r="EW204" s="740"/>
      <c r="EX204" s="740"/>
      <c r="EY204" s="740"/>
      <c r="EZ204" s="740"/>
      <c r="FA204" s="740"/>
      <c r="FB204" s="740"/>
      <c r="FC204" s="740"/>
      <c r="FD204" s="740"/>
      <c r="FE204" s="740"/>
      <c r="FF204" s="740"/>
      <c r="FG204" s="740"/>
      <c r="FH204" s="740"/>
      <c r="FI204" s="740"/>
      <c r="FJ204" s="740"/>
      <c r="FK204" s="740"/>
      <c r="FL204" s="740"/>
      <c r="FM204" s="740"/>
      <c r="FN204" s="740"/>
      <c r="FO204" s="740"/>
      <c r="FP204" s="740"/>
      <c r="FQ204" s="740"/>
      <c r="FR204" s="740"/>
      <c r="FS204" s="740"/>
      <c r="FT204" s="740"/>
      <c r="FU204" s="740"/>
      <c r="FV204" s="740"/>
      <c r="FW204" s="740"/>
      <c r="FX204" s="740"/>
      <c r="FY204" s="740"/>
      <c r="FZ204" s="740"/>
      <c r="GA204" s="740"/>
      <c r="GB204" s="740"/>
      <c r="GC204" s="740"/>
      <c r="GD204" s="740"/>
      <c r="GE204" s="740"/>
      <c r="GF204" s="740"/>
      <c r="GG204" s="740"/>
      <c r="GH204" s="740"/>
      <c r="GI204" s="740"/>
      <c r="GJ204" s="740"/>
      <c r="GK204" s="740"/>
      <c r="GL204" s="740"/>
      <c r="GM204" s="740"/>
      <c r="GN204" s="740"/>
      <c r="GO204" s="740"/>
      <c r="GP204" s="740"/>
      <c r="GQ204" s="740"/>
      <c r="GR204" s="740"/>
      <c r="GS204" s="740"/>
      <c r="GT204" s="740"/>
      <c r="GU204" s="740"/>
      <c r="GV204" s="740"/>
      <c r="GW204" s="740"/>
    </row>
    <row r="205" spans="5:205" ht="24" customHeight="1" x14ac:dyDescent="0.2">
      <c r="R205" s="740"/>
      <c r="S205" s="740"/>
      <c r="T205" s="740"/>
      <c r="U205" s="740"/>
      <c r="V205" s="740"/>
      <c r="W205" s="740"/>
      <c r="X205" s="740"/>
      <c r="Y205" s="740"/>
      <c r="Z205" s="740"/>
      <c r="AA205" s="740"/>
      <c r="AB205" s="740"/>
      <c r="AC205" s="740"/>
      <c r="AD205" s="740"/>
      <c r="AE205" s="740"/>
      <c r="AF205" s="740"/>
      <c r="AG205" s="740"/>
      <c r="AH205" s="740"/>
      <c r="AI205" s="740"/>
      <c r="AJ205" s="740"/>
      <c r="AK205" s="740"/>
      <c r="AL205" s="740"/>
      <c r="AM205" s="740"/>
      <c r="AN205" s="740"/>
      <c r="AO205" s="740"/>
      <c r="AP205" s="740"/>
      <c r="AQ205" s="740"/>
      <c r="AR205" s="740"/>
      <c r="AS205" s="740"/>
      <c r="AT205" s="740"/>
      <c r="AU205" s="740"/>
      <c r="AV205" s="740"/>
      <c r="AW205" s="740"/>
      <c r="AX205" s="740"/>
      <c r="AY205" s="740"/>
      <c r="AZ205" s="740"/>
      <c r="BA205" s="740"/>
      <c r="BB205" s="740"/>
      <c r="BC205" s="740"/>
      <c r="BD205" s="740"/>
      <c r="BE205" s="740"/>
      <c r="BF205" s="740"/>
      <c r="BG205" s="740"/>
      <c r="BH205" s="740"/>
      <c r="BI205" s="740"/>
      <c r="BJ205" s="740"/>
      <c r="BK205" s="740"/>
      <c r="BL205" s="740"/>
      <c r="BM205" s="740"/>
      <c r="BN205" s="740"/>
      <c r="BO205" s="740"/>
      <c r="BP205" s="740"/>
      <c r="BQ205" s="740"/>
      <c r="BR205" s="740"/>
      <c r="BS205" s="740"/>
      <c r="BT205" s="740"/>
      <c r="BU205" s="740"/>
      <c r="BV205" s="740"/>
      <c r="BW205" s="740"/>
      <c r="BX205" s="740"/>
      <c r="BY205" s="740"/>
      <c r="BZ205" s="740"/>
      <c r="CA205" s="740"/>
      <c r="CB205" s="740"/>
      <c r="CC205" s="740"/>
      <c r="CD205" s="740"/>
      <c r="CE205" s="740"/>
      <c r="CF205" s="740"/>
      <c r="CG205" s="740"/>
      <c r="CH205" s="740"/>
      <c r="CI205" s="740"/>
      <c r="CJ205" s="740"/>
      <c r="CK205" s="740"/>
      <c r="CL205" s="740"/>
      <c r="CM205" s="740"/>
      <c r="CN205" s="740"/>
      <c r="CO205" s="740"/>
      <c r="CP205" s="740"/>
      <c r="CQ205" s="740"/>
      <c r="CR205" s="740"/>
      <c r="CS205" s="740"/>
      <c r="CT205" s="740"/>
      <c r="CU205" s="740"/>
      <c r="CV205" s="740"/>
      <c r="CW205" s="740"/>
      <c r="CX205" s="740"/>
      <c r="CY205" s="740"/>
      <c r="CZ205" s="740"/>
      <c r="DA205" s="740"/>
      <c r="DB205" s="740"/>
      <c r="DC205" s="740"/>
      <c r="DD205" s="740"/>
      <c r="DE205" s="740"/>
      <c r="DF205" s="740"/>
      <c r="DG205" s="740"/>
      <c r="DH205" s="740"/>
      <c r="DI205" s="740"/>
      <c r="DJ205" s="740"/>
      <c r="DK205" s="740"/>
      <c r="DL205" s="740"/>
      <c r="DM205" s="740"/>
      <c r="DN205" s="740"/>
      <c r="DO205" s="740"/>
      <c r="DP205" s="740"/>
      <c r="DQ205" s="740"/>
      <c r="DR205" s="740"/>
      <c r="DS205" s="740"/>
      <c r="DT205" s="740"/>
      <c r="DU205" s="740"/>
      <c r="DV205" s="740"/>
      <c r="DW205" s="740"/>
      <c r="DX205" s="740"/>
      <c r="DY205" s="740"/>
      <c r="DZ205" s="740"/>
      <c r="EA205" s="740"/>
      <c r="EB205" s="740"/>
      <c r="EC205" s="740"/>
      <c r="ED205" s="740"/>
      <c r="EE205" s="740"/>
      <c r="EF205" s="740"/>
      <c r="EG205" s="740"/>
      <c r="EH205" s="740"/>
      <c r="EI205" s="740"/>
      <c r="EJ205" s="740"/>
      <c r="EK205" s="740"/>
      <c r="EL205" s="740"/>
      <c r="EM205" s="740"/>
      <c r="EN205" s="740"/>
      <c r="EO205" s="740"/>
      <c r="EP205" s="740"/>
      <c r="EQ205" s="740"/>
      <c r="ER205" s="740"/>
      <c r="ES205" s="740"/>
      <c r="ET205" s="740"/>
      <c r="EU205" s="740"/>
      <c r="EV205" s="740"/>
      <c r="EW205" s="740"/>
      <c r="EX205" s="740"/>
      <c r="EY205" s="740"/>
      <c r="EZ205" s="740"/>
      <c r="FA205" s="740"/>
      <c r="FB205" s="740"/>
      <c r="FC205" s="740"/>
      <c r="FD205" s="740"/>
      <c r="FE205" s="740"/>
      <c r="FF205" s="740"/>
      <c r="FG205" s="740"/>
      <c r="FH205" s="740"/>
      <c r="FI205" s="740"/>
      <c r="FJ205" s="740"/>
      <c r="FK205" s="740"/>
      <c r="FL205" s="740"/>
      <c r="FM205" s="740"/>
      <c r="FN205" s="740"/>
      <c r="FO205" s="740"/>
      <c r="FP205" s="740"/>
      <c r="FQ205" s="740"/>
      <c r="FR205" s="740"/>
      <c r="FS205" s="740"/>
      <c r="FT205" s="740"/>
      <c r="FU205" s="740"/>
      <c r="FV205" s="740"/>
      <c r="FW205" s="740"/>
      <c r="FX205" s="740"/>
      <c r="FY205" s="740"/>
      <c r="FZ205" s="740"/>
      <c r="GA205" s="740"/>
      <c r="GB205" s="740"/>
      <c r="GC205" s="740"/>
      <c r="GD205" s="740"/>
      <c r="GE205" s="740"/>
      <c r="GF205" s="740"/>
      <c r="GG205" s="740"/>
      <c r="GH205" s="740"/>
      <c r="GI205" s="740"/>
      <c r="GJ205" s="740"/>
      <c r="GK205" s="740"/>
      <c r="GL205" s="740"/>
      <c r="GM205" s="740"/>
      <c r="GN205" s="740"/>
      <c r="GO205" s="740"/>
      <c r="GP205" s="740"/>
      <c r="GQ205" s="740"/>
      <c r="GR205" s="740"/>
      <c r="GS205" s="740"/>
      <c r="GT205" s="740"/>
      <c r="GU205" s="740"/>
      <c r="GV205" s="740"/>
      <c r="GW205" s="740"/>
    </row>
    <row r="206" spans="5:205" ht="24" customHeight="1" x14ac:dyDescent="0.2">
      <c r="R206" s="740"/>
      <c r="S206" s="740"/>
      <c r="T206" s="740"/>
      <c r="U206" s="740"/>
      <c r="V206" s="740"/>
      <c r="W206" s="740"/>
      <c r="X206" s="740"/>
      <c r="Y206" s="740"/>
      <c r="Z206" s="740"/>
      <c r="AA206" s="740"/>
      <c r="AB206" s="740"/>
      <c r="AC206" s="740"/>
      <c r="AD206" s="740"/>
      <c r="AE206" s="740"/>
      <c r="AF206" s="740"/>
      <c r="AG206" s="740"/>
      <c r="AH206" s="740"/>
      <c r="AI206" s="740"/>
      <c r="AJ206" s="740"/>
      <c r="AK206" s="740"/>
      <c r="AL206" s="740"/>
      <c r="AM206" s="740"/>
      <c r="AN206" s="740"/>
      <c r="AO206" s="740"/>
      <c r="AP206" s="740"/>
      <c r="AQ206" s="740"/>
      <c r="AR206" s="740"/>
      <c r="AS206" s="740"/>
      <c r="AT206" s="740"/>
      <c r="AU206" s="740"/>
      <c r="AV206" s="740"/>
      <c r="AW206" s="740"/>
      <c r="AX206" s="740"/>
      <c r="AY206" s="740"/>
      <c r="AZ206" s="740"/>
      <c r="BA206" s="740"/>
      <c r="BB206" s="740"/>
      <c r="BC206" s="740"/>
      <c r="BD206" s="740"/>
      <c r="BE206" s="740"/>
      <c r="BF206" s="740"/>
      <c r="BG206" s="740"/>
      <c r="BH206" s="740"/>
      <c r="BI206" s="740"/>
      <c r="BJ206" s="740"/>
      <c r="BK206" s="740"/>
      <c r="BL206" s="740"/>
      <c r="BM206" s="740"/>
      <c r="BN206" s="740"/>
      <c r="BO206" s="740"/>
      <c r="BP206" s="740"/>
      <c r="BQ206" s="740"/>
      <c r="BR206" s="740"/>
      <c r="BS206" s="740"/>
      <c r="BT206" s="740"/>
      <c r="BU206" s="740"/>
      <c r="BV206" s="740"/>
      <c r="BW206" s="740"/>
      <c r="BX206" s="740"/>
      <c r="BY206" s="740"/>
      <c r="BZ206" s="740"/>
      <c r="CA206" s="740"/>
      <c r="CB206" s="740"/>
      <c r="CC206" s="740"/>
      <c r="CD206" s="740"/>
      <c r="CE206" s="740"/>
      <c r="CF206" s="740"/>
      <c r="CG206" s="740"/>
      <c r="CH206" s="740"/>
      <c r="CI206" s="740"/>
      <c r="CJ206" s="740"/>
      <c r="CK206" s="740"/>
      <c r="CL206" s="740"/>
      <c r="CM206" s="740"/>
      <c r="CN206" s="740"/>
      <c r="CO206" s="740"/>
      <c r="CP206" s="740"/>
      <c r="CQ206" s="740"/>
      <c r="CR206" s="740"/>
      <c r="CS206" s="740"/>
      <c r="CT206" s="740"/>
      <c r="CU206" s="740"/>
      <c r="CV206" s="740"/>
      <c r="CW206" s="740"/>
      <c r="CX206" s="740"/>
      <c r="CY206" s="740"/>
      <c r="CZ206" s="740"/>
      <c r="DA206" s="740"/>
      <c r="DB206" s="740"/>
      <c r="DC206" s="740"/>
      <c r="DD206" s="740"/>
      <c r="DE206" s="740"/>
      <c r="DF206" s="740"/>
      <c r="DG206" s="740"/>
      <c r="DH206" s="740"/>
      <c r="DI206" s="740"/>
      <c r="DJ206" s="740"/>
      <c r="DK206" s="740"/>
      <c r="DL206" s="740"/>
      <c r="DM206" s="740"/>
      <c r="DN206" s="740"/>
      <c r="DO206" s="740"/>
      <c r="DP206" s="740"/>
      <c r="DQ206" s="740"/>
      <c r="DR206" s="740"/>
      <c r="DS206" s="740"/>
      <c r="DT206" s="740"/>
      <c r="DU206" s="740"/>
      <c r="DV206" s="740"/>
      <c r="DW206" s="740"/>
      <c r="DX206" s="740"/>
      <c r="DY206" s="740"/>
      <c r="DZ206" s="740"/>
      <c r="EA206" s="740"/>
      <c r="EB206" s="740"/>
      <c r="EC206" s="740"/>
      <c r="ED206" s="740"/>
      <c r="EE206" s="740"/>
      <c r="EF206" s="740"/>
      <c r="EG206" s="740"/>
      <c r="EH206" s="740"/>
      <c r="EI206" s="740"/>
      <c r="EJ206" s="740"/>
      <c r="EK206" s="740"/>
      <c r="EL206" s="740"/>
      <c r="EM206" s="740"/>
      <c r="EN206" s="740"/>
      <c r="EO206" s="740"/>
      <c r="EP206" s="740"/>
      <c r="EQ206" s="740"/>
      <c r="ER206" s="740"/>
      <c r="ES206" s="740"/>
      <c r="ET206" s="740"/>
      <c r="EU206" s="740"/>
      <c r="EV206" s="740"/>
      <c r="EW206" s="740"/>
      <c r="EX206" s="740"/>
      <c r="EY206" s="740"/>
      <c r="EZ206" s="740"/>
      <c r="FA206" s="740"/>
      <c r="FB206" s="740"/>
      <c r="FC206" s="740"/>
      <c r="FD206" s="740"/>
      <c r="FE206" s="740"/>
      <c r="FF206" s="740"/>
      <c r="FG206" s="740"/>
      <c r="FH206" s="740"/>
      <c r="FI206" s="740"/>
      <c r="FJ206" s="740"/>
      <c r="FK206" s="740"/>
      <c r="FL206" s="740"/>
      <c r="FM206" s="740"/>
      <c r="FN206" s="740"/>
      <c r="FO206" s="740"/>
      <c r="FP206" s="740"/>
      <c r="FQ206" s="740"/>
      <c r="FR206" s="740"/>
      <c r="FS206" s="740"/>
      <c r="FT206" s="740"/>
      <c r="FU206" s="740"/>
      <c r="FV206" s="740"/>
      <c r="FW206" s="740"/>
      <c r="FX206" s="740"/>
      <c r="FY206" s="740"/>
      <c r="FZ206" s="740"/>
      <c r="GA206" s="740"/>
      <c r="GB206" s="740"/>
      <c r="GC206" s="740"/>
      <c r="GD206" s="740"/>
      <c r="GE206" s="740"/>
      <c r="GF206" s="740"/>
      <c r="GG206" s="740"/>
      <c r="GH206" s="740"/>
      <c r="GI206" s="740"/>
      <c r="GJ206" s="740"/>
      <c r="GK206" s="740"/>
      <c r="GL206" s="740"/>
      <c r="GM206" s="740"/>
      <c r="GN206" s="740"/>
      <c r="GO206" s="740"/>
      <c r="GP206" s="740"/>
      <c r="GQ206" s="740"/>
      <c r="GR206" s="740"/>
      <c r="GS206" s="740"/>
      <c r="GT206" s="740"/>
      <c r="GU206" s="740"/>
      <c r="GV206" s="740"/>
      <c r="GW206" s="740"/>
    </row>
    <row r="207" spans="5:205" ht="24" customHeight="1" x14ac:dyDescent="0.2">
      <c r="R207" s="740"/>
      <c r="S207" s="740"/>
      <c r="T207" s="740"/>
      <c r="U207" s="740"/>
      <c r="V207" s="740"/>
      <c r="W207" s="740"/>
      <c r="X207" s="740"/>
      <c r="Y207" s="740"/>
      <c r="Z207" s="740"/>
      <c r="AA207" s="740"/>
      <c r="AB207" s="740"/>
      <c r="AC207" s="740"/>
      <c r="AD207" s="740"/>
      <c r="AE207" s="740"/>
      <c r="AF207" s="740"/>
      <c r="AG207" s="740"/>
      <c r="AH207" s="740"/>
      <c r="AI207" s="740"/>
      <c r="AJ207" s="740"/>
      <c r="AK207" s="740"/>
      <c r="AL207" s="740"/>
      <c r="AM207" s="740"/>
      <c r="AN207" s="740"/>
      <c r="AO207" s="740"/>
      <c r="AP207" s="740"/>
      <c r="AQ207" s="740"/>
      <c r="AR207" s="740"/>
      <c r="AS207" s="740"/>
      <c r="AT207" s="740"/>
      <c r="AU207" s="740"/>
      <c r="AV207" s="740"/>
      <c r="AW207" s="740"/>
      <c r="AX207" s="740"/>
      <c r="AY207" s="740"/>
      <c r="AZ207" s="740"/>
      <c r="BA207" s="740"/>
      <c r="BB207" s="740"/>
      <c r="BC207" s="740"/>
      <c r="BD207" s="740"/>
      <c r="BE207" s="740"/>
      <c r="BF207" s="740"/>
      <c r="BG207" s="740"/>
      <c r="BH207" s="740"/>
      <c r="BI207" s="740"/>
      <c r="BJ207" s="740"/>
      <c r="BK207" s="740"/>
      <c r="BL207" s="740"/>
      <c r="BM207" s="740"/>
      <c r="BN207" s="740"/>
      <c r="BO207" s="740"/>
      <c r="BP207" s="740"/>
      <c r="BQ207" s="740"/>
      <c r="BR207" s="740"/>
      <c r="BS207" s="740"/>
      <c r="BT207" s="740"/>
      <c r="BU207" s="740"/>
      <c r="BV207" s="740"/>
      <c r="BW207" s="740"/>
      <c r="BX207" s="740"/>
      <c r="BY207" s="740"/>
      <c r="BZ207" s="740"/>
      <c r="CA207" s="740"/>
      <c r="CB207" s="740"/>
      <c r="CC207" s="740"/>
      <c r="CD207" s="740"/>
      <c r="CE207" s="740"/>
      <c r="CF207" s="740"/>
      <c r="CG207" s="740"/>
      <c r="CH207" s="740"/>
      <c r="CI207" s="740"/>
      <c r="CJ207" s="740"/>
      <c r="CK207" s="740"/>
      <c r="CL207" s="740"/>
      <c r="CM207" s="740"/>
      <c r="CN207" s="740"/>
      <c r="CO207" s="740"/>
      <c r="CP207" s="740"/>
      <c r="CQ207" s="740"/>
      <c r="CR207" s="740"/>
      <c r="CS207" s="740"/>
      <c r="CT207" s="740"/>
      <c r="CU207" s="740"/>
      <c r="CV207" s="740"/>
      <c r="CW207" s="740"/>
      <c r="CX207" s="740"/>
      <c r="CY207" s="740"/>
      <c r="CZ207" s="740"/>
      <c r="DA207" s="740"/>
      <c r="DB207" s="740"/>
      <c r="DC207" s="740"/>
      <c r="DD207" s="740"/>
      <c r="DE207" s="740"/>
      <c r="DF207" s="740"/>
      <c r="DG207" s="740"/>
      <c r="DH207" s="740"/>
      <c r="DI207" s="740"/>
      <c r="DJ207" s="740"/>
      <c r="DK207" s="740"/>
      <c r="DL207" s="740"/>
      <c r="DM207" s="740"/>
      <c r="DN207" s="740"/>
      <c r="DO207" s="740"/>
      <c r="DP207" s="740"/>
      <c r="DQ207" s="740"/>
      <c r="DR207" s="740"/>
      <c r="DS207" s="740"/>
      <c r="DT207" s="740"/>
      <c r="DU207" s="740"/>
      <c r="DV207" s="740"/>
      <c r="DW207" s="740"/>
      <c r="DX207" s="740"/>
      <c r="DY207" s="740"/>
      <c r="DZ207" s="740"/>
      <c r="EA207" s="740"/>
      <c r="EB207" s="740"/>
      <c r="EC207" s="740"/>
      <c r="ED207" s="740"/>
      <c r="EE207" s="740"/>
      <c r="EF207" s="740"/>
      <c r="EG207" s="740"/>
      <c r="EH207" s="740"/>
      <c r="EI207" s="740"/>
      <c r="EJ207" s="740"/>
      <c r="EK207" s="740"/>
      <c r="EL207" s="740"/>
      <c r="EM207" s="740"/>
      <c r="EN207" s="740"/>
      <c r="EO207" s="740"/>
      <c r="EP207" s="740"/>
      <c r="EQ207" s="740"/>
      <c r="ER207" s="740"/>
      <c r="ES207" s="740"/>
      <c r="ET207" s="740"/>
      <c r="EU207" s="740"/>
      <c r="EV207" s="740"/>
      <c r="EW207" s="740"/>
      <c r="EX207" s="740"/>
      <c r="EY207" s="740"/>
      <c r="EZ207" s="740"/>
      <c r="FA207" s="740"/>
      <c r="FB207" s="740"/>
      <c r="FC207" s="740"/>
      <c r="FD207" s="740"/>
      <c r="FE207" s="740"/>
      <c r="FF207" s="740"/>
      <c r="FG207" s="740"/>
      <c r="FH207" s="740"/>
      <c r="FI207" s="740"/>
      <c r="FJ207" s="740"/>
      <c r="FK207" s="740"/>
      <c r="FL207" s="740"/>
      <c r="FM207" s="740"/>
      <c r="FN207" s="740"/>
      <c r="FO207" s="740"/>
      <c r="FP207" s="740"/>
      <c r="FQ207" s="740"/>
      <c r="FR207" s="740"/>
      <c r="FS207" s="740"/>
      <c r="FT207" s="740"/>
      <c r="FU207" s="740"/>
      <c r="FV207" s="740"/>
      <c r="FW207" s="740"/>
      <c r="FX207" s="740"/>
      <c r="FY207" s="740"/>
      <c r="FZ207" s="740"/>
      <c r="GA207" s="740"/>
      <c r="GB207" s="740"/>
      <c r="GC207" s="740"/>
      <c r="GD207" s="740"/>
      <c r="GE207" s="740"/>
      <c r="GF207" s="740"/>
      <c r="GG207" s="740"/>
      <c r="GH207" s="740"/>
      <c r="GI207" s="740"/>
      <c r="GJ207" s="740"/>
      <c r="GK207" s="740"/>
      <c r="GL207" s="740"/>
      <c r="GM207" s="740"/>
      <c r="GN207" s="740"/>
      <c r="GO207" s="740"/>
      <c r="GP207" s="740"/>
      <c r="GQ207" s="740"/>
      <c r="GR207" s="740"/>
      <c r="GS207" s="740"/>
      <c r="GT207" s="740"/>
      <c r="GU207" s="740"/>
      <c r="GV207" s="740"/>
      <c r="GW207" s="740"/>
    </row>
    <row r="208" spans="5:205" ht="24" customHeight="1" x14ac:dyDescent="0.2">
      <c r="R208" s="740"/>
      <c r="S208" s="740"/>
      <c r="T208" s="740"/>
      <c r="U208" s="740"/>
      <c r="V208" s="740"/>
      <c r="W208" s="740"/>
      <c r="X208" s="740"/>
      <c r="Y208" s="740"/>
      <c r="Z208" s="740"/>
      <c r="AA208" s="740"/>
      <c r="AB208" s="740"/>
      <c r="AC208" s="740"/>
      <c r="AD208" s="740"/>
      <c r="AE208" s="740"/>
      <c r="AF208" s="740"/>
      <c r="AG208" s="740"/>
      <c r="AH208" s="740"/>
      <c r="AI208" s="740"/>
      <c r="AJ208" s="740"/>
      <c r="AK208" s="740"/>
      <c r="AL208" s="740"/>
      <c r="AM208" s="740"/>
      <c r="AN208" s="740"/>
      <c r="AO208" s="740"/>
      <c r="AP208" s="740"/>
      <c r="AQ208" s="740"/>
      <c r="AR208" s="740"/>
      <c r="AS208" s="740"/>
      <c r="AT208" s="740"/>
      <c r="AU208" s="740"/>
      <c r="AV208" s="740"/>
      <c r="AW208" s="740"/>
      <c r="AX208" s="740"/>
      <c r="AY208" s="740"/>
      <c r="AZ208" s="740"/>
      <c r="BA208" s="740"/>
      <c r="BB208" s="740"/>
      <c r="BC208" s="740"/>
      <c r="BD208" s="740"/>
      <c r="BE208" s="740"/>
      <c r="BF208" s="740"/>
      <c r="BG208" s="740"/>
      <c r="BH208" s="740"/>
      <c r="BI208" s="740"/>
      <c r="BJ208" s="740"/>
      <c r="BK208" s="740"/>
      <c r="BL208" s="740"/>
      <c r="BM208" s="740"/>
      <c r="BN208" s="740"/>
      <c r="BO208" s="740"/>
      <c r="BP208" s="740"/>
      <c r="BQ208" s="740"/>
      <c r="BR208" s="740"/>
      <c r="BS208" s="740"/>
      <c r="BT208" s="740"/>
      <c r="BU208" s="740"/>
      <c r="BV208" s="740"/>
      <c r="BW208" s="740"/>
      <c r="BX208" s="740"/>
      <c r="BY208" s="740"/>
      <c r="BZ208" s="740"/>
      <c r="CA208" s="740"/>
      <c r="CB208" s="740"/>
      <c r="CC208" s="740"/>
      <c r="CD208" s="740"/>
      <c r="CE208" s="740"/>
      <c r="CF208" s="740"/>
      <c r="CG208" s="740"/>
      <c r="CH208" s="740"/>
      <c r="CI208" s="740"/>
      <c r="CJ208" s="740"/>
      <c r="CK208" s="740"/>
      <c r="CL208" s="740"/>
      <c r="CM208" s="740"/>
      <c r="CN208" s="740"/>
      <c r="CO208" s="740"/>
      <c r="CP208" s="740"/>
      <c r="CQ208" s="740"/>
      <c r="CR208" s="740"/>
      <c r="CS208" s="740"/>
      <c r="CT208" s="740"/>
      <c r="CU208" s="740"/>
      <c r="CV208" s="740"/>
      <c r="CW208" s="740"/>
      <c r="CX208" s="740"/>
      <c r="CY208" s="740"/>
      <c r="CZ208" s="740"/>
      <c r="DA208" s="740"/>
      <c r="DB208" s="740"/>
      <c r="DC208" s="740"/>
      <c r="DD208" s="740"/>
      <c r="DE208" s="740"/>
      <c r="DF208" s="740"/>
      <c r="DG208" s="740"/>
      <c r="DH208" s="740"/>
      <c r="DI208" s="740"/>
      <c r="DJ208" s="740"/>
      <c r="DK208" s="740"/>
      <c r="DL208" s="740"/>
      <c r="DM208" s="740"/>
      <c r="DN208" s="740"/>
      <c r="DO208" s="740"/>
      <c r="DP208" s="740"/>
      <c r="DQ208" s="740"/>
      <c r="DR208" s="740"/>
      <c r="DS208" s="740"/>
      <c r="DT208" s="740"/>
      <c r="DU208" s="740"/>
      <c r="DV208" s="740"/>
      <c r="DW208" s="740"/>
      <c r="DX208" s="740"/>
      <c r="DY208" s="740"/>
      <c r="DZ208" s="740"/>
      <c r="EA208" s="740"/>
      <c r="EB208" s="740"/>
      <c r="EC208" s="740"/>
      <c r="ED208" s="740"/>
      <c r="EE208" s="740"/>
      <c r="EF208" s="740"/>
      <c r="EG208" s="740"/>
      <c r="EH208" s="740"/>
      <c r="EI208" s="740"/>
      <c r="EJ208" s="740"/>
      <c r="EK208" s="740"/>
      <c r="EL208" s="740"/>
      <c r="EM208" s="740"/>
      <c r="EN208" s="740"/>
      <c r="EO208" s="740"/>
      <c r="EP208" s="740"/>
      <c r="EQ208" s="740"/>
      <c r="ER208" s="740"/>
      <c r="ES208" s="740"/>
      <c r="ET208" s="740"/>
      <c r="EU208" s="740"/>
      <c r="EV208" s="740"/>
      <c r="EW208" s="740"/>
      <c r="EX208" s="740"/>
      <c r="EY208" s="740"/>
      <c r="EZ208" s="740"/>
      <c r="FA208" s="740"/>
      <c r="FB208" s="740"/>
      <c r="FC208" s="740"/>
      <c r="FD208" s="740"/>
      <c r="FE208" s="740"/>
      <c r="FF208" s="740"/>
      <c r="FG208" s="740"/>
      <c r="FH208" s="740"/>
      <c r="FI208" s="740"/>
      <c r="FJ208" s="740"/>
      <c r="FK208" s="740"/>
      <c r="FL208" s="740"/>
      <c r="FM208" s="740"/>
      <c r="FN208" s="740"/>
      <c r="FO208" s="740"/>
      <c r="FP208" s="740"/>
      <c r="FQ208" s="740"/>
      <c r="FR208" s="740"/>
      <c r="FS208" s="740"/>
      <c r="FT208" s="740"/>
      <c r="FU208" s="740"/>
      <c r="FV208" s="740"/>
      <c r="FW208" s="740"/>
      <c r="FX208" s="740"/>
      <c r="FY208" s="740"/>
      <c r="FZ208" s="740"/>
      <c r="GA208" s="740"/>
      <c r="GB208" s="740"/>
      <c r="GC208" s="740"/>
      <c r="GD208" s="740"/>
      <c r="GE208" s="740"/>
      <c r="GF208" s="740"/>
      <c r="GG208" s="740"/>
      <c r="GH208" s="740"/>
      <c r="GI208" s="740"/>
      <c r="GJ208" s="740"/>
      <c r="GK208" s="740"/>
      <c r="GL208" s="740"/>
      <c r="GM208" s="740"/>
      <c r="GN208" s="740"/>
      <c r="GO208" s="740"/>
      <c r="GP208" s="740"/>
      <c r="GQ208" s="740"/>
      <c r="GR208" s="740"/>
      <c r="GS208" s="740"/>
      <c r="GT208" s="740"/>
      <c r="GU208" s="740"/>
      <c r="GV208" s="740"/>
      <c r="GW208" s="740"/>
    </row>
    <row r="209" spans="18:205" ht="24" customHeight="1" x14ac:dyDescent="0.2">
      <c r="R209" s="740"/>
      <c r="S209" s="740"/>
      <c r="T209" s="740"/>
      <c r="U209" s="740"/>
      <c r="V209" s="740"/>
      <c r="W209" s="740"/>
      <c r="X209" s="740"/>
      <c r="Y209" s="740"/>
      <c r="Z209" s="740"/>
      <c r="AA209" s="740"/>
      <c r="AB209" s="740"/>
      <c r="AC209" s="740"/>
      <c r="AD209" s="740"/>
      <c r="AE209" s="740"/>
      <c r="AF209" s="740"/>
      <c r="AG209" s="740"/>
      <c r="AH209" s="740"/>
      <c r="AI209" s="740"/>
      <c r="AJ209" s="740"/>
      <c r="AK209" s="740"/>
      <c r="AL209" s="740"/>
      <c r="AM209" s="740"/>
      <c r="AN209" s="740"/>
      <c r="AO209" s="740"/>
      <c r="AP209" s="740"/>
      <c r="AQ209" s="740"/>
      <c r="AR209" s="740"/>
      <c r="AS209" s="740"/>
      <c r="AT209" s="740"/>
      <c r="AU209" s="740"/>
      <c r="AV209" s="740"/>
      <c r="AW209" s="740"/>
      <c r="AX209" s="740"/>
      <c r="AY209" s="740"/>
      <c r="AZ209" s="740"/>
      <c r="BA209" s="740"/>
      <c r="BB209" s="740"/>
      <c r="BC209" s="740"/>
      <c r="BD209" s="740"/>
      <c r="BE209" s="740"/>
      <c r="BF209" s="740"/>
      <c r="BG209" s="740"/>
      <c r="BH209" s="740"/>
      <c r="BI209" s="740"/>
      <c r="BJ209" s="740"/>
      <c r="BK209" s="740"/>
      <c r="BL209" s="740"/>
      <c r="BM209" s="740"/>
      <c r="BN209" s="740"/>
      <c r="BO209" s="740"/>
      <c r="BP209" s="740"/>
      <c r="BQ209" s="740"/>
      <c r="BR209" s="740"/>
      <c r="BS209" s="740"/>
      <c r="BT209" s="740"/>
      <c r="BU209" s="740"/>
      <c r="BV209" s="740"/>
      <c r="BW209" s="740"/>
      <c r="BX209" s="740"/>
      <c r="BY209" s="740"/>
      <c r="BZ209" s="740"/>
      <c r="CA209" s="740"/>
      <c r="CB209" s="740"/>
      <c r="CC209" s="740"/>
      <c r="CD209" s="740"/>
      <c r="CE209" s="740"/>
      <c r="CF209" s="740"/>
      <c r="CG209" s="740"/>
      <c r="CH209" s="740"/>
      <c r="CI209" s="740"/>
      <c r="CJ209" s="740"/>
      <c r="CK209" s="740"/>
      <c r="CL209" s="740"/>
      <c r="CM209" s="740"/>
      <c r="CN209" s="740"/>
      <c r="CO209" s="740"/>
      <c r="CP209" s="740"/>
      <c r="CQ209" s="740"/>
      <c r="CR209" s="740"/>
      <c r="CS209" s="740"/>
      <c r="CT209" s="740"/>
      <c r="CU209" s="740"/>
      <c r="CV209" s="740"/>
      <c r="CW209" s="740"/>
      <c r="CX209" s="740"/>
      <c r="CY209" s="740"/>
      <c r="CZ209" s="740"/>
      <c r="DA209" s="740"/>
      <c r="DB209" s="740"/>
      <c r="DC209" s="740"/>
      <c r="DD209" s="740"/>
      <c r="DE209" s="740"/>
      <c r="DF209" s="740"/>
      <c r="DG209" s="740"/>
      <c r="DH209" s="740"/>
      <c r="DI209" s="740"/>
      <c r="DJ209" s="740"/>
      <c r="DK209" s="740"/>
      <c r="DL209" s="740"/>
      <c r="DM209" s="740"/>
      <c r="DN209" s="740"/>
      <c r="DO209" s="740"/>
      <c r="DP209" s="740"/>
      <c r="DQ209" s="740"/>
      <c r="DR209" s="740"/>
      <c r="DS209" s="740"/>
      <c r="DT209" s="740"/>
      <c r="DU209" s="740"/>
      <c r="DV209" s="740"/>
      <c r="DW209" s="740"/>
      <c r="DX209" s="740"/>
      <c r="DY209" s="740"/>
      <c r="DZ209" s="740"/>
      <c r="EA209" s="740"/>
      <c r="EB209" s="740"/>
      <c r="EC209" s="740"/>
      <c r="ED209" s="740"/>
      <c r="EE209" s="740"/>
      <c r="EF209" s="740"/>
      <c r="EG209" s="740"/>
      <c r="EH209" s="740"/>
      <c r="EI209" s="740"/>
      <c r="EJ209" s="740"/>
      <c r="EK209" s="740"/>
      <c r="EL209" s="740"/>
      <c r="EM209" s="740"/>
      <c r="EN209" s="740"/>
      <c r="EO209" s="740"/>
      <c r="EP209" s="740"/>
      <c r="EQ209" s="740"/>
      <c r="ER209" s="740"/>
      <c r="ES209" s="740"/>
      <c r="ET209" s="740"/>
      <c r="EU209" s="740"/>
      <c r="EV209" s="740"/>
      <c r="EW209" s="740"/>
      <c r="EX209" s="740"/>
      <c r="EY209" s="740"/>
      <c r="EZ209" s="740"/>
      <c r="FA209" s="740"/>
      <c r="FB209" s="740"/>
      <c r="FC209" s="740"/>
      <c r="FD209" s="740"/>
      <c r="FE209" s="740"/>
      <c r="FF209" s="740"/>
      <c r="FG209" s="740"/>
      <c r="FH209" s="740"/>
      <c r="FI209" s="740"/>
      <c r="FJ209" s="740"/>
      <c r="FK209" s="740"/>
      <c r="FL209" s="740"/>
      <c r="FM209" s="740"/>
      <c r="FN209" s="740"/>
      <c r="FO209" s="740"/>
      <c r="FP209" s="740"/>
      <c r="FQ209" s="740"/>
      <c r="FR209" s="740"/>
      <c r="FS209" s="740"/>
      <c r="FT209" s="740"/>
      <c r="FU209" s="740"/>
      <c r="FV209" s="740"/>
      <c r="FW209" s="740"/>
      <c r="FX209" s="740"/>
      <c r="FY209" s="740"/>
      <c r="FZ209" s="740"/>
      <c r="GA209" s="740"/>
      <c r="GB209" s="740"/>
      <c r="GC209" s="740"/>
      <c r="GD209" s="740"/>
      <c r="GE209" s="740"/>
      <c r="GF209" s="740"/>
      <c r="GG209" s="740"/>
      <c r="GH209" s="740"/>
      <c r="GI209" s="740"/>
      <c r="GJ209" s="740"/>
      <c r="GK209" s="740"/>
      <c r="GL209" s="740"/>
      <c r="GM209" s="740"/>
      <c r="GN209" s="740"/>
      <c r="GO209" s="740"/>
      <c r="GP209" s="740"/>
      <c r="GQ209" s="740"/>
      <c r="GR209" s="740"/>
      <c r="GS209" s="740"/>
      <c r="GT209" s="740"/>
      <c r="GU209" s="740"/>
      <c r="GV209" s="740"/>
      <c r="GW209" s="740"/>
    </row>
    <row r="210" spans="18:205" ht="24" customHeight="1" x14ac:dyDescent="0.2">
      <c r="R210" s="740"/>
      <c r="S210" s="740"/>
      <c r="T210" s="740"/>
      <c r="U210" s="740"/>
      <c r="V210" s="740"/>
      <c r="W210" s="740"/>
      <c r="X210" s="740"/>
      <c r="Y210" s="740"/>
      <c r="Z210" s="740"/>
      <c r="AA210" s="740"/>
      <c r="AB210" s="740"/>
      <c r="AC210" s="740"/>
      <c r="AD210" s="740"/>
      <c r="AE210" s="740"/>
      <c r="AF210" s="740"/>
      <c r="AG210" s="740"/>
      <c r="AH210" s="740"/>
      <c r="AI210" s="740"/>
      <c r="AJ210" s="740"/>
      <c r="AK210" s="740"/>
      <c r="AL210" s="740"/>
      <c r="AM210" s="740"/>
      <c r="AN210" s="740"/>
      <c r="AO210" s="740"/>
      <c r="AP210" s="740"/>
      <c r="AQ210" s="740"/>
      <c r="AR210" s="740"/>
      <c r="AS210" s="740"/>
      <c r="AT210" s="740"/>
      <c r="AU210" s="740"/>
      <c r="AV210" s="740"/>
      <c r="AW210" s="740"/>
      <c r="AX210" s="740"/>
      <c r="AY210" s="740"/>
      <c r="AZ210" s="740"/>
      <c r="BA210" s="740"/>
      <c r="BB210" s="740"/>
      <c r="BC210" s="740"/>
      <c r="BD210" s="740"/>
      <c r="BE210" s="740"/>
      <c r="BF210" s="740"/>
      <c r="BG210" s="740"/>
      <c r="BH210" s="740"/>
      <c r="BI210" s="740"/>
      <c r="BJ210" s="740"/>
      <c r="BK210" s="740"/>
      <c r="BL210" s="740"/>
      <c r="BM210" s="740"/>
      <c r="BN210" s="740"/>
      <c r="BO210" s="740"/>
      <c r="BP210" s="740"/>
      <c r="BQ210" s="740"/>
      <c r="BR210" s="740"/>
      <c r="BS210" s="740"/>
      <c r="BT210" s="740"/>
      <c r="BU210" s="740"/>
      <c r="BV210" s="740"/>
      <c r="BW210" s="740"/>
      <c r="BX210" s="740"/>
      <c r="BY210" s="740"/>
      <c r="BZ210" s="740"/>
      <c r="CA210" s="740"/>
      <c r="CB210" s="740"/>
      <c r="CC210" s="740"/>
      <c r="CD210" s="740"/>
      <c r="CE210" s="740"/>
      <c r="CF210" s="740"/>
      <c r="CG210" s="740"/>
      <c r="CH210" s="740"/>
      <c r="CI210" s="740"/>
      <c r="CJ210" s="740"/>
      <c r="CK210" s="740"/>
      <c r="CL210" s="740"/>
      <c r="CM210" s="740"/>
      <c r="CN210" s="740"/>
      <c r="CO210" s="740"/>
      <c r="CP210" s="740"/>
      <c r="CQ210" s="740"/>
      <c r="CR210" s="740"/>
      <c r="CS210" s="740"/>
      <c r="CT210" s="740"/>
      <c r="CU210" s="740"/>
      <c r="CV210" s="740"/>
      <c r="CW210" s="740"/>
      <c r="CX210" s="740"/>
      <c r="CY210" s="740"/>
      <c r="CZ210" s="740"/>
      <c r="DA210" s="740"/>
      <c r="DB210" s="740"/>
      <c r="DC210" s="740"/>
      <c r="DD210" s="740"/>
      <c r="DE210" s="740"/>
      <c r="DF210" s="740"/>
      <c r="DG210" s="740"/>
      <c r="DH210" s="740"/>
      <c r="DI210" s="740"/>
      <c r="DJ210" s="740"/>
      <c r="DK210" s="740"/>
      <c r="DL210" s="740"/>
      <c r="DM210" s="740"/>
      <c r="DN210" s="740"/>
      <c r="DO210" s="740"/>
      <c r="DP210" s="740"/>
      <c r="DQ210" s="740"/>
      <c r="DR210" s="740"/>
      <c r="DS210" s="740"/>
      <c r="DT210" s="740"/>
      <c r="DU210" s="740"/>
      <c r="DV210" s="740"/>
      <c r="DW210" s="740"/>
      <c r="DX210" s="740"/>
      <c r="DY210" s="740"/>
      <c r="DZ210" s="740"/>
      <c r="EA210" s="740"/>
      <c r="EB210" s="740"/>
      <c r="EC210" s="740"/>
      <c r="ED210" s="740"/>
      <c r="EE210" s="740"/>
      <c r="EF210" s="740"/>
      <c r="EG210" s="740"/>
      <c r="EH210" s="740"/>
      <c r="EI210" s="740"/>
      <c r="EJ210" s="740"/>
      <c r="EK210" s="740"/>
      <c r="EL210" s="740"/>
      <c r="EM210" s="740"/>
      <c r="EN210" s="740"/>
      <c r="EO210" s="740"/>
      <c r="EP210" s="740"/>
      <c r="EQ210" s="740"/>
      <c r="ER210" s="740"/>
      <c r="ES210" s="740"/>
      <c r="ET210" s="740"/>
      <c r="EU210" s="740"/>
      <c r="EV210" s="740"/>
      <c r="EW210" s="740"/>
      <c r="EX210" s="740"/>
      <c r="EY210" s="740"/>
      <c r="EZ210" s="740"/>
      <c r="FA210" s="740"/>
      <c r="FB210" s="740"/>
      <c r="FC210" s="740"/>
      <c r="FD210" s="740"/>
      <c r="FE210" s="740"/>
      <c r="FF210" s="740"/>
      <c r="FG210" s="740"/>
      <c r="FH210" s="740"/>
      <c r="FI210" s="740"/>
      <c r="FJ210" s="740"/>
      <c r="FK210" s="740"/>
      <c r="FL210" s="740"/>
      <c r="FM210" s="740"/>
      <c r="FN210" s="740"/>
      <c r="FO210" s="740"/>
      <c r="FP210" s="740"/>
      <c r="FQ210" s="740"/>
      <c r="FR210" s="740"/>
      <c r="FS210" s="740"/>
      <c r="FT210" s="740"/>
      <c r="FU210" s="740"/>
      <c r="FV210" s="740"/>
      <c r="FW210" s="740"/>
      <c r="FX210" s="740"/>
      <c r="FY210" s="740"/>
      <c r="FZ210" s="740"/>
      <c r="GA210" s="740"/>
      <c r="GB210" s="740"/>
      <c r="GC210" s="740"/>
      <c r="GD210" s="740"/>
      <c r="GE210" s="740"/>
      <c r="GF210" s="740"/>
      <c r="GG210" s="740"/>
      <c r="GH210" s="740"/>
      <c r="GI210" s="740"/>
      <c r="GJ210" s="740"/>
      <c r="GK210" s="740"/>
      <c r="GL210" s="740"/>
      <c r="GM210" s="740"/>
      <c r="GN210" s="740"/>
      <c r="GO210" s="740"/>
      <c r="GP210" s="740"/>
      <c r="GQ210" s="740"/>
      <c r="GR210" s="740"/>
      <c r="GS210" s="740"/>
      <c r="GT210" s="740"/>
      <c r="GU210" s="740"/>
      <c r="GV210" s="740"/>
      <c r="GW210" s="740"/>
    </row>
    <row r="211" spans="18:205" ht="24" customHeight="1" x14ac:dyDescent="0.2">
      <c r="R211" s="740"/>
      <c r="S211" s="740"/>
      <c r="T211" s="740"/>
      <c r="U211" s="740"/>
      <c r="V211" s="740"/>
      <c r="W211" s="740"/>
      <c r="X211" s="740"/>
      <c r="Y211" s="740"/>
      <c r="Z211" s="740"/>
      <c r="AA211" s="740"/>
      <c r="AB211" s="740"/>
      <c r="AC211" s="740"/>
      <c r="AD211" s="740"/>
      <c r="AE211" s="740"/>
      <c r="AF211" s="740"/>
      <c r="AG211" s="740"/>
      <c r="AH211" s="740"/>
      <c r="AI211" s="740"/>
      <c r="AJ211" s="740"/>
      <c r="AK211" s="740"/>
      <c r="AL211" s="740"/>
      <c r="AM211" s="740"/>
      <c r="AN211" s="740"/>
      <c r="AO211" s="740"/>
      <c r="AP211" s="740"/>
      <c r="AQ211" s="740"/>
      <c r="AR211" s="740"/>
      <c r="AS211" s="740"/>
      <c r="AT211" s="740"/>
      <c r="AU211" s="740"/>
      <c r="AV211" s="740"/>
      <c r="AW211" s="740"/>
      <c r="AX211" s="740"/>
      <c r="AY211" s="740"/>
      <c r="AZ211" s="740"/>
      <c r="BA211" s="740"/>
      <c r="BB211" s="740"/>
      <c r="BC211" s="740"/>
      <c r="BD211" s="740"/>
      <c r="BE211" s="740"/>
      <c r="BF211" s="740"/>
      <c r="BG211" s="740"/>
      <c r="BH211" s="740"/>
      <c r="BI211" s="740"/>
      <c r="BJ211" s="740"/>
      <c r="BK211" s="740"/>
      <c r="BL211" s="740"/>
      <c r="BM211" s="740"/>
      <c r="BN211" s="740"/>
      <c r="BO211" s="740"/>
      <c r="BP211" s="740"/>
      <c r="BQ211" s="740"/>
      <c r="BR211" s="740"/>
      <c r="BS211" s="740"/>
      <c r="BT211" s="740"/>
      <c r="BU211" s="740"/>
      <c r="BV211" s="740"/>
      <c r="BW211" s="740"/>
      <c r="BX211" s="740"/>
      <c r="BY211" s="740"/>
      <c r="BZ211" s="740"/>
      <c r="CA211" s="740"/>
      <c r="CB211" s="740"/>
      <c r="CC211" s="740"/>
      <c r="CD211" s="740"/>
      <c r="CE211" s="740"/>
      <c r="CF211" s="740"/>
      <c r="CG211" s="740"/>
      <c r="CH211" s="740"/>
      <c r="CI211" s="740"/>
      <c r="CJ211" s="740"/>
      <c r="CK211" s="740"/>
      <c r="CL211" s="740"/>
      <c r="CM211" s="740"/>
      <c r="CN211" s="740"/>
      <c r="CO211" s="740"/>
      <c r="CP211" s="740"/>
      <c r="CQ211" s="740"/>
      <c r="CR211" s="740"/>
      <c r="CS211" s="740"/>
      <c r="CT211" s="740"/>
      <c r="CU211" s="740"/>
      <c r="CV211" s="740"/>
      <c r="CW211" s="740"/>
      <c r="CX211" s="740"/>
      <c r="CY211" s="740"/>
      <c r="CZ211" s="740"/>
      <c r="DA211" s="740"/>
      <c r="DB211" s="740"/>
      <c r="DC211" s="740"/>
      <c r="DD211" s="740"/>
      <c r="DE211" s="740"/>
      <c r="DF211" s="740"/>
      <c r="DG211" s="740"/>
      <c r="DH211" s="740"/>
      <c r="DI211" s="740"/>
      <c r="DJ211" s="740"/>
      <c r="DK211" s="740"/>
      <c r="DL211" s="740"/>
      <c r="DM211" s="740"/>
      <c r="DN211" s="740"/>
      <c r="DO211" s="740"/>
      <c r="DP211" s="740"/>
      <c r="DQ211" s="740"/>
      <c r="DR211" s="740"/>
      <c r="DS211" s="740"/>
      <c r="DT211" s="740"/>
      <c r="DU211" s="740"/>
      <c r="DV211" s="740"/>
      <c r="DW211" s="740"/>
      <c r="DX211" s="740"/>
      <c r="DY211" s="740"/>
      <c r="DZ211" s="740"/>
      <c r="EA211" s="740"/>
      <c r="EB211" s="740"/>
      <c r="EC211" s="740"/>
      <c r="ED211" s="740"/>
      <c r="EE211" s="740"/>
      <c r="EF211" s="740"/>
      <c r="EG211" s="740"/>
      <c r="EH211" s="740"/>
      <c r="EI211" s="740"/>
      <c r="EJ211" s="740"/>
      <c r="EK211" s="740"/>
      <c r="EL211" s="740"/>
      <c r="EM211" s="740"/>
      <c r="EN211" s="740"/>
      <c r="EO211" s="740"/>
      <c r="EP211" s="740"/>
      <c r="EQ211" s="740"/>
      <c r="ER211" s="740"/>
      <c r="ES211" s="740"/>
      <c r="ET211" s="740"/>
      <c r="EU211" s="740"/>
      <c r="EV211" s="740"/>
      <c r="EW211" s="740"/>
      <c r="EX211" s="740"/>
      <c r="EY211" s="740"/>
      <c r="EZ211" s="740"/>
      <c r="FA211" s="740"/>
      <c r="FB211" s="740"/>
      <c r="FC211" s="740"/>
      <c r="FD211" s="740"/>
      <c r="FE211" s="740"/>
      <c r="FF211" s="740"/>
      <c r="FG211" s="740"/>
      <c r="FH211" s="740"/>
      <c r="FI211" s="740"/>
      <c r="FJ211" s="740"/>
      <c r="FK211" s="740"/>
      <c r="FL211" s="740"/>
      <c r="FM211" s="740"/>
      <c r="FN211" s="740"/>
      <c r="FO211" s="740"/>
      <c r="FP211" s="740"/>
      <c r="FQ211" s="740"/>
      <c r="FR211" s="740"/>
      <c r="FS211" s="740"/>
      <c r="FT211" s="740"/>
      <c r="FU211" s="740"/>
      <c r="FV211" s="740"/>
      <c r="FW211" s="740"/>
      <c r="FX211" s="740"/>
      <c r="FY211" s="740"/>
      <c r="FZ211" s="740"/>
      <c r="GA211" s="740"/>
      <c r="GB211" s="740"/>
      <c r="GC211" s="740"/>
      <c r="GD211" s="740"/>
      <c r="GE211" s="740"/>
      <c r="GF211" s="740"/>
      <c r="GG211" s="740"/>
      <c r="GH211" s="740"/>
      <c r="GI211" s="740"/>
      <c r="GJ211" s="740"/>
      <c r="GK211" s="740"/>
      <c r="GL211" s="740"/>
      <c r="GM211" s="740"/>
      <c r="GN211" s="740"/>
      <c r="GO211" s="740"/>
      <c r="GP211" s="740"/>
      <c r="GQ211" s="740"/>
      <c r="GR211" s="740"/>
      <c r="GS211" s="740"/>
      <c r="GT211" s="740"/>
      <c r="GU211" s="740"/>
      <c r="GV211" s="740"/>
      <c r="GW211" s="740"/>
    </row>
    <row r="212" spans="18:205" ht="24" customHeight="1" x14ac:dyDescent="0.2">
      <c r="R212" s="740"/>
      <c r="S212" s="740"/>
      <c r="T212" s="740"/>
      <c r="U212" s="740"/>
      <c r="V212" s="740"/>
      <c r="W212" s="740"/>
      <c r="X212" s="740"/>
      <c r="Y212" s="740"/>
      <c r="Z212" s="740"/>
      <c r="AA212" s="740"/>
      <c r="AB212" s="740"/>
      <c r="AC212" s="740"/>
      <c r="AD212" s="740"/>
      <c r="AE212" s="740"/>
      <c r="AF212" s="740"/>
      <c r="AG212" s="740"/>
      <c r="AH212" s="740"/>
      <c r="AI212" s="740"/>
      <c r="AJ212" s="740"/>
      <c r="AK212" s="740"/>
      <c r="AL212" s="740"/>
      <c r="AM212" s="740"/>
      <c r="AN212" s="740"/>
      <c r="AO212" s="740"/>
      <c r="AP212" s="740"/>
      <c r="AQ212" s="740"/>
      <c r="AR212" s="740"/>
      <c r="AS212" s="740"/>
      <c r="AT212" s="740"/>
      <c r="AU212" s="740"/>
      <c r="AV212" s="740"/>
      <c r="AW212" s="740"/>
      <c r="AX212" s="740"/>
      <c r="AY212" s="740"/>
      <c r="AZ212" s="740"/>
      <c r="BA212" s="740"/>
      <c r="BB212" s="740"/>
      <c r="BC212" s="740"/>
      <c r="BD212" s="740"/>
      <c r="BE212" s="740"/>
      <c r="BF212" s="740"/>
      <c r="BG212" s="740"/>
      <c r="BH212" s="740"/>
      <c r="BI212" s="740"/>
      <c r="BJ212" s="740"/>
      <c r="BK212" s="740"/>
      <c r="BL212" s="740"/>
      <c r="BM212" s="740"/>
      <c r="BN212" s="740"/>
      <c r="BO212" s="740"/>
      <c r="BP212" s="740"/>
      <c r="BQ212" s="740"/>
      <c r="BR212" s="740"/>
      <c r="BS212" s="740"/>
      <c r="BT212" s="740"/>
      <c r="BU212" s="740"/>
      <c r="BV212" s="740"/>
      <c r="BW212" s="740"/>
      <c r="BX212" s="740"/>
      <c r="BY212" s="740"/>
      <c r="BZ212" s="740"/>
      <c r="CA212" s="740"/>
      <c r="CB212" s="740"/>
      <c r="CC212" s="740"/>
      <c r="CD212" s="740"/>
      <c r="CE212" s="740"/>
      <c r="CF212" s="740"/>
      <c r="CG212" s="740"/>
      <c r="CH212" s="740"/>
      <c r="CI212" s="740"/>
      <c r="CJ212" s="740"/>
      <c r="CK212" s="740"/>
      <c r="CL212" s="740"/>
      <c r="CM212" s="740"/>
      <c r="CN212" s="740"/>
      <c r="CO212" s="740"/>
      <c r="CP212" s="740"/>
      <c r="CQ212" s="740"/>
      <c r="CR212" s="740"/>
      <c r="CS212" s="740"/>
      <c r="CT212" s="740"/>
      <c r="CU212" s="740"/>
      <c r="CV212" s="740"/>
      <c r="CW212" s="740"/>
      <c r="CX212" s="740"/>
      <c r="CY212" s="740"/>
      <c r="CZ212" s="740"/>
      <c r="DA212" s="740"/>
      <c r="DB212" s="740"/>
      <c r="DC212" s="740"/>
      <c r="DD212" s="740"/>
      <c r="DE212" s="740"/>
      <c r="DF212" s="740"/>
      <c r="DG212" s="740"/>
      <c r="DH212" s="740"/>
      <c r="DI212" s="740"/>
      <c r="DJ212" s="740"/>
      <c r="DK212" s="740"/>
      <c r="DL212" s="740"/>
      <c r="DM212" s="740"/>
      <c r="DN212" s="740"/>
      <c r="DO212" s="740"/>
      <c r="DP212" s="740"/>
      <c r="DQ212" s="740"/>
      <c r="DR212" s="740"/>
      <c r="DS212" s="740"/>
      <c r="DT212" s="740"/>
      <c r="DU212" s="740"/>
      <c r="DV212" s="740"/>
      <c r="DW212" s="740"/>
      <c r="DX212" s="740"/>
      <c r="DY212" s="740"/>
      <c r="DZ212" s="740"/>
      <c r="EA212" s="740"/>
      <c r="EB212" s="740"/>
      <c r="EC212" s="740"/>
      <c r="ED212" s="740"/>
      <c r="EE212" s="740"/>
      <c r="EF212" s="740"/>
      <c r="EG212" s="740"/>
      <c r="EH212" s="740"/>
      <c r="EI212" s="740"/>
      <c r="EJ212" s="740"/>
      <c r="EK212" s="740"/>
      <c r="EL212" s="740"/>
      <c r="EM212" s="740"/>
      <c r="EN212" s="740"/>
      <c r="EO212" s="740"/>
      <c r="EP212" s="740"/>
      <c r="EQ212" s="740"/>
      <c r="ER212" s="740"/>
      <c r="ES212" s="740"/>
      <c r="ET212" s="740"/>
      <c r="EU212" s="740"/>
      <c r="EV212" s="740"/>
      <c r="EW212" s="740"/>
      <c r="EX212" s="740"/>
      <c r="EY212" s="740"/>
      <c r="EZ212" s="740"/>
      <c r="FA212" s="740"/>
      <c r="FB212" s="740"/>
      <c r="FC212" s="740"/>
      <c r="FD212" s="740"/>
      <c r="FE212" s="740"/>
      <c r="FF212" s="740"/>
      <c r="FG212" s="740"/>
      <c r="FH212" s="740"/>
      <c r="FI212" s="740"/>
      <c r="FJ212" s="740"/>
      <c r="FK212" s="740"/>
      <c r="FL212" s="740"/>
      <c r="FM212" s="740"/>
      <c r="FN212" s="740"/>
      <c r="FO212" s="740"/>
      <c r="FP212" s="740"/>
      <c r="FQ212" s="740"/>
      <c r="FR212" s="740"/>
      <c r="FS212" s="740"/>
      <c r="FT212" s="740"/>
      <c r="FU212" s="740"/>
      <c r="FV212" s="740"/>
      <c r="FW212" s="740"/>
      <c r="FX212" s="740"/>
      <c r="FY212" s="740"/>
      <c r="FZ212" s="740"/>
      <c r="GA212" s="740"/>
      <c r="GB212" s="740"/>
      <c r="GC212" s="740"/>
      <c r="GD212" s="740"/>
      <c r="GE212" s="740"/>
      <c r="GF212" s="740"/>
      <c r="GG212" s="740"/>
      <c r="GH212" s="740"/>
      <c r="GI212" s="740"/>
      <c r="GJ212" s="740"/>
      <c r="GK212" s="740"/>
      <c r="GL212" s="740"/>
      <c r="GM212" s="740"/>
      <c r="GN212" s="740"/>
      <c r="GO212" s="740"/>
      <c r="GP212" s="740"/>
      <c r="GQ212" s="740"/>
      <c r="GR212" s="740"/>
      <c r="GS212" s="740"/>
      <c r="GT212" s="740"/>
      <c r="GU212" s="740"/>
      <c r="GV212" s="740"/>
      <c r="GW212" s="740"/>
    </row>
    <row r="213" spans="18:205" ht="24" customHeight="1" x14ac:dyDescent="0.2">
      <c r="R213" s="740"/>
      <c r="S213" s="740"/>
      <c r="T213" s="740"/>
      <c r="U213" s="740"/>
      <c r="V213" s="740"/>
      <c r="W213" s="740"/>
      <c r="X213" s="740"/>
      <c r="Y213" s="740"/>
      <c r="Z213" s="740"/>
      <c r="AA213" s="740"/>
      <c r="AB213" s="740"/>
      <c r="AC213" s="740"/>
      <c r="AD213" s="740"/>
      <c r="AE213" s="740"/>
      <c r="AF213" s="740"/>
      <c r="AG213" s="740"/>
      <c r="AH213" s="740"/>
      <c r="AI213" s="740"/>
      <c r="AJ213" s="740"/>
      <c r="AK213" s="740"/>
      <c r="AL213" s="740"/>
      <c r="AM213" s="740"/>
      <c r="AN213" s="740"/>
      <c r="AO213" s="740"/>
      <c r="AP213" s="740"/>
      <c r="AQ213" s="740"/>
      <c r="AR213" s="740"/>
      <c r="AS213" s="740"/>
      <c r="AT213" s="740"/>
      <c r="AU213" s="740"/>
      <c r="AV213" s="740"/>
      <c r="AW213" s="740"/>
      <c r="AX213" s="740"/>
      <c r="AY213" s="740"/>
      <c r="AZ213" s="740"/>
      <c r="BA213" s="740"/>
      <c r="BB213" s="740"/>
      <c r="BC213" s="740"/>
      <c r="BD213" s="740"/>
      <c r="BE213" s="740"/>
      <c r="BF213" s="740"/>
      <c r="BG213" s="740"/>
      <c r="BH213" s="740"/>
      <c r="BI213" s="740"/>
      <c r="BJ213" s="740"/>
      <c r="BK213" s="740"/>
      <c r="BL213" s="740"/>
      <c r="BM213" s="740"/>
      <c r="BN213" s="740"/>
      <c r="BO213" s="740"/>
      <c r="BP213" s="740"/>
      <c r="BQ213" s="740"/>
      <c r="BR213" s="740"/>
      <c r="BS213" s="740"/>
      <c r="BT213" s="740"/>
      <c r="BU213" s="740"/>
      <c r="BV213" s="740"/>
      <c r="BW213" s="740"/>
      <c r="BX213" s="740"/>
      <c r="BY213" s="740"/>
      <c r="BZ213" s="740"/>
      <c r="CA213" s="740"/>
      <c r="CB213" s="740"/>
      <c r="CC213" s="740"/>
      <c r="CD213" s="740"/>
      <c r="CE213" s="740"/>
      <c r="CF213" s="740"/>
      <c r="CG213" s="740"/>
      <c r="CH213" s="740"/>
      <c r="CI213" s="740"/>
      <c r="CJ213" s="740"/>
      <c r="CK213" s="740"/>
      <c r="CL213" s="740"/>
      <c r="CM213" s="740"/>
      <c r="CN213" s="740"/>
      <c r="CO213" s="740"/>
      <c r="CP213" s="740"/>
      <c r="CQ213" s="740"/>
      <c r="CR213" s="740"/>
      <c r="CS213" s="740"/>
      <c r="CT213" s="740"/>
      <c r="CU213" s="740"/>
      <c r="CV213" s="740"/>
      <c r="CW213" s="740"/>
      <c r="CX213" s="740"/>
      <c r="CY213" s="740"/>
      <c r="CZ213" s="740"/>
      <c r="DA213" s="740"/>
      <c r="DB213" s="740"/>
      <c r="DC213" s="740"/>
      <c r="DD213" s="740"/>
      <c r="DE213" s="740"/>
      <c r="DF213" s="740"/>
      <c r="DG213" s="740"/>
      <c r="DH213" s="740"/>
      <c r="DI213" s="740"/>
      <c r="DJ213" s="740"/>
      <c r="DK213" s="740"/>
      <c r="DL213" s="740"/>
      <c r="DM213" s="740"/>
      <c r="DN213" s="740"/>
      <c r="DO213" s="740"/>
      <c r="DP213" s="740"/>
      <c r="DQ213" s="740"/>
      <c r="DR213" s="740"/>
      <c r="DS213" s="740"/>
      <c r="DT213" s="740"/>
      <c r="DU213" s="740"/>
      <c r="DV213" s="740"/>
      <c r="DW213" s="740"/>
      <c r="DX213" s="740"/>
      <c r="DY213" s="740"/>
      <c r="DZ213" s="740"/>
      <c r="EA213" s="740"/>
      <c r="EB213" s="740"/>
      <c r="EC213" s="740"/>
      <c r="ED213" s="740"/>
      <c r="EE213" s="740"/>
      <c r="EF213" s="740"/>
      <c r="EG213" s="740"/>
      <c r="EH213" s="740"/>
      <c r="EI213" s="740"/>
      <c r="EJ213" s="740"/>
      <c r="EK213" s="740"/>
      <c r="EL213" s="740"/>
      <c r="EM213" s="740"/>
      <c r="EN213" s="740"/>
      <c r="EO213" s="740"/>
      <c r="EP213" s="740"/>
      <c r="EQ213" s="740"/>
      <c r="ER213" s="740"/>
      <c r="ES213" s="740"/>
      <c r="ET213" s="740"/>
      <c r="EU213" s="740"/>
      <c r="EV213" s="740"/>
      <c r="EW213" s="740"/>
      <c r="EX213" s="740"/>
      <c r="EY213" s="740"/>
      <c r="EZ213" s="740"/>
      <c r="FA213" s="740"/>
      <c r="FB213" s="740"/>
      <c r="FC213" s="740"/>
      <c r="FD213" s="740"/>
      <c r="FE213" s="740"/>
      <c r="FF213" s="740"/>
      <c r="FG213" s="740"/>
      <c r="FH213" s="740"/>
      <c r="FI213" s="740"/>
      <c r="FJ213" s="740"/>
      <c r="FK213" s="740"/>
      <c r="FL213" s="740"/>
      <c r="FM213" s="740"/>
      <c r="FN213" s="740"/>
      <c r="FO213" s="740"/>
      <c r="FP213" s="740"/>
      <c r="FQ213" s="740"/>
      <c r="FR213" s="740"/>
      <c r="FS213" s="740"/>
      <c r="FT213" s="740"/>
      <c r="FU213" s="740"/>
      <c r="FV213" s="740"/>
      <c r="FW213" s="740"/>
      <c r="FX213" s="740"/>
      <c r="FY213" s="740"/>
      <c r="FZ213" s="740"/>
      <c r="GA213" s="740"/>
      <c r="GB213" s="740"/>
      <c r="GC213" s="740"/>
      <c r="GD213" s="740"/>
      <c r="GE213" s="740"/>
      <c r="GF213" s="740"/>
      <c r="GG213" s="740"/>
      <c r="GH213" s="740"/>
      <c r="GI213" s="740"/>
      <c r="GJ213" s="740"/>
      <c r="GK213" s="740"/>
      <c r="GL213" s="740"/>
      <c r="GM213" s="740"/>
      <c r="GN213" s="740"/>
      <c r="GO213" s="740"/>
      <c r="GP213" s="740"/>
      <c r="GQ213" s="740"/>
      <c r="GR213" s="740"/>
      <c r="GS213" s="740"/>
      <c r="GT213" s="740"/>
      <c r="GU213" s="740"/>
      <c r="GV213" s="740"/>
      <c r="GW213" s="740"/>
    </row>
    <row r="214" spans="18:205" ht="24" customHeight="1" x14ac:dyDescent="0.2">
      <c r="R214" s="740"/>
      <c r="S214" s="740"/>
      <c r="T214" s="740"/>
      <c r="U214" s="740"/>
      <c r="V214" s="740"/>
      <c r="W214" s="740"/>
      <c r="X214" s="740"/>
      <c r="Y214" s="740"/>
      <c r="Z214" s="740"/>
      <c r="AA214" s="740"/>
      <c r="AB214" s="740"/>
      <c r="AC214" s="740"/>
      <c r="AD214" s="740"/>
      <c r="AE214" s="740"/>
      <c r="AF214" s="740"/>
      <c r="AG214" s="740"/>
      <c r="AH214" s="740"/>
      <c r="AI214" s="740"/>
      <c r="AJ214" s="740"/>
      <c r="AK214" s="740"/>
      <c r="AL214" s="740"/>
      <c r="AM214" s="740"/>
      <c r="AN214" s="740"/>
      <c r="AO214" s="740"/>
      <c r="AP214" s="740"/>
      <c r="AQ214" s="740"/>
      <c r="AR214" s="740"/>
      <c r="AS214" s="740"/>
      <c r="AT214" s="740"/>
      <c r="AU214" s="740"/>
      <c r="AV214" s="740"/>
      <c r="AW214" s="740"/>
      <c r="AX214" s="740"/>
      <c r="AY214" s="740"/>
      <c r="AZ214" s="740"/>
      <c r="BA214" s="740"/>
      <c r="BB214" s="740"/>
      <c r="BC214" s="740"/>
      <c r="BD214" s="740"/>
      <c r="BE214" s="740"/>
      <c r="BF214" s="740"/>
      <c r="BG214" s="740"/>
      <c r="BH214" s="740"/>
      <c r="BI214" s="740"/>
      <c r="BJ214" s="740"/>
      <c r="BK214" s="740"/>
      <c r="BL214" s="740"/>
      <c r="BM214" s="740"/>
      <c r="BN214" s="740"/>
      <c r="BO214" s="740"/>
      <c r="BP214" s="740"/>
      <c r="BQ214" s="740"/>
      <c r="BR214" s="740"/>
      <c r="BS214" s="740"/>
      <c r="BT214" s="740"/>
      <c r="BU214" s="740"/>
      <c r="BV214" s="740"/>
      <c r="BW214" s="740"/>
      <c r="BX214" s="740"/>
      <c r="BY214" s="740"/>
      <c r="BZ214" s="740"/>
      <c r="CA214" s="740"/>
      <c r="CB214" s="740"/>
      <c r="CC214" s="740"/>
      <c r="CD214" s="740"/>
      <c r="CE214" s="740"/>
      <c r="CF214" s="740"/>
      <c r="CG214" s="740"/>
      <c r="CH214" s="740"/>
      <c r="CI214" s="740"/>
      <c r="CJ214" s="740"/>
      <c r="CK214" s="740"/>
      <c r="CL214" s="740"/>
      <c r="CM214" s="740"/>
      <c r="CN214" s="740"/>
      <c r="CO214" s="740"/>
      <c r="CP214" s="740"/>
      <c r="CQ214" s="740"/>
      <c r="CR214" s="740"/>
      <c r="CS214" s="740"/>
      <c r="CT214" s="740"/>
      <c r="CU214" s="740"/>
      <c r="CV214" s="740"/>
      <c r="CW214" s="740"/>
      <c r="CX214" s="740"/>
      <c r="CY214" s="740"/>
      <c r="CZ214" s="740"/>
      <c r="DA214" s="740"/>
      <c r="DB214" s="740"/>
      <c r="DC214" s="740"/>
      <c r="DD214" s="740"/>
      <c r="DE214" s="740"/>
      <c r="DF214" s="740"/>
      <c r="DG214" s="740"/>
      <c r="DH214" s="740"/>
      <c r="DI214" s="740"/>
      <c r="DJ214" s="740"/>
      <c r="DK214" s="740"/>
      <c r="DL214" s="740"/>
      <c r="DM214" s="740"/>
      <c r="DN214" s="740"/>
      <c r="DO214" s="740"/>
      <c r="DP214" s="740"/>
      <c r="DQ214" s="740"/>
      <c r="DR214" s="740"/>
      <c r="DS214" s="740"/>
      <c r="DT214" s="740"/>
      <c r="DU214" s="740"/>
      <c r="DV214" s="740"/>
      <c r="DW214" s="740"/>
      <c r="DX214" s="740"/>
      <c r="DY214" s="740"/>
      <c r="DZ214" s="740"/>
      <c r="EA214" s="740"/>
      <c r="EB214" s="740"/>
      <c r="EC214" s="740"/>
      <c r="ED214" s="740"/>
      <c r="EE214" s="740"/>
      <c r="EF214" s="740"/>
      <c r="EG214" s="740"/>
      <c r="EH214" s="740"/>
      <c r="EI214" s="740"/>
      <c r="EJ214" s="740"/>
      <c r="EK214" s="740"/>
      <c r="EL214" s="740"/>
      <c r="EM214" s="740"/>
      <c r="EN214" s="740"/>
      <c r="EO214" s="740"/>
      <c r="EP214" s="740"/>
      <c r="EQ214" s="740"/>
      <c r="ER214" s="740"/>
      <c r="ES214" s="740"/>
      <c r="ET214" s="740"/>
      <c r="EU214" s="740"/>
      <c r="EV214" s="740"/>
      <c r="EW214" s="740"/>
      <c r="EX214" s="740"/>
      <c r="EY214" s="740"/>
      <c r="EZ214" s="740"/>
      <c r="FA214" s="740"/>
      <c r="FB214" s="740"/>
      <c r="FC214" s="740"/>
      <c r="FD214" s="740"/>
      <c r="FE214" s="740"/>
      <c r="FF214" s="740"/>
      <c r="FG214" s="740"/>
      <c r="FH214" s="740"/>
      <c r="FI214" s="740"/>
      <c r="FJ214" s="740"/>
      <c r="FK214" s="740"/>
      <c r="FL214" s="740"/>
      <c r="FM214" s="740"/>
      <c r="FN214" s="740"/>
      <c r="FO214" s="740"/>
      <c r="FP214" s="740"/>
      <c r="FQ214" s="740"/>
      <c r="FR214" s="740"/>
      <c r="FS214" s="740"/>
      <c r="FT214" s="740"/>
      <c r="FU214" s="740"/>
      <c r="FV214" s="740"/>
      <c r="FW214" s="740"/>
      <c r="FX214" s="740"/>
      <c r="FY214" s="740"/>
      <c r="FZ214" s="740"/>
      <c r="GA214" s="740"/>
      <c r="GB214" s="740"/>
      <c r="GC214" s="740"/>
      <c r="GD214" s="740"/>
      <c r="GE214" s="740"/>
      <c r="GF214" s="740"/>
      <c r="GG214" s="740"/>
      <c r="GH214" s="740"/>
      <c r="GI214" s="740"/>
      <c r="GJ214" s="740"/>
      <c r="GK214" s="740"/>
      <c r="GL214" s="740"/>
      <c r="GM214" s="740"/>
      <c r="GN214" s="740"/>
      <c r="GO214" s="740"/>
      <c r="GP214" s="740"/>
      <c r="GQ214" s="740"/>
      <c r="GR214" s="740"/>
      <c r="GS214" s="740"/>
      <c r="GT214" s="740"/>
      <c r="GU214" s="740"/>
      <c r="GV214" s="740"/>
      <c r="GW214" s="740"/>
    </row>
    <row r="215" spans="18:205" ht="24" customHeight="1" x14ac:dyDescent="0.2">
      <c r="R215" s="740"/>
      <c r="S215" s="740"/>
      <c r="T215" s="740"/>
      <c r="U215" s="740"/>
      <c r="V215" s="740"/>
      <c r="W215" s="740"/>
      <c r="X215" s="740"/>
      <c r="Y215" s="740"/>
      <c r="Z215" s="740"/>
      <c r="AA215" s="740"/>
      <c r="AB215" s="740"/>
      <c r="AC215" s="740"/>
      <c r="AD215" s="740"/>
      <c r="AE215" s="740"/>
      <c r="AF215" s="740"/>
      <c r="AG215" s="740"/>
      <c r="AH215" s="740"/>
      <c r="AI215" s="740"/>
      <c r="AJ215" s="740"/>
      <c r="AK215" s="740"/>
      <c r="AL215" s="740"/>
      <c r="AM215" s="740"/>
      <c r="AN215" s="740"/>
      <c r="AO215" s="740"/>
      <c r="AP215" s="740"/>
      <c r="AQ215" s="740"/>
      <c r="AR215" s="740"/>
      <c r="AS215" s="740"/>
      <c r="AT215" s="740"/>
      <c r="AU215" s="740"/>
      <c r="AV215" s="740"/>
      <c r="AW215" s="740"/>
      <c r="AX215" s="740"/>
      <c r="AY215" s="740"/>
      <c r="AZ215" s="740"/>
      <c r="BA215" s="740"/>
      <c r="BB215" s="740"/>
      <c r="BC215" s="740"/>
      <c r="BD215" s="740"/>
      <c r="BE215" s="740"/>
      <c r="BF215" s="740"/>
      <c r="BG215" s="740"/>
      <c r="BH215" s="740"/>
      <c r="BI215" s="740"/>
      <c r="BJ215" s="740"/>
      <c r="BK215" s="740"/>
      <c r="BL215" s="740"/>
      <c r="BM215" s="740"/>
      <c r="BN215" s="740"/>
      <c r="BO215" s="740"/>
      <c r="BP215" s="740"/>
      <c r="BQ215" s="740"/>
      <c r="BR215" s="740"/>
      <c r="BS215" s="740"/>
      <c r="BT215" s="740"/>
      <c r="BU215" s="740"/>
      <c r="BV215" s="740"/>
      <c r="BW215" s="740"/>
      <c r="BX215" s="740"/>
      <c r="BY215" s="740"/>
      <c r="BZ215" s="740"/>
      <c r="CA215" s="740"/>
      <c r="CB215" s="740"/>
      <c r="CC215" s="740"/>
      <c r="CD215" s="740"/>
      <c r="CE215" s="740"/>
      <c r="CF215" s="740"/>
      <c r="CG215" s="740"/>
      <c r="CH215" s="740"/>
      <c r="CI215" s="740"/>
      <c r="CJ215" s="740"/>
      <c r="CK215" s="740"/>
      <c r="CL215" s="740"/>
      <c r="CM215" s="740"/>
      <c r="CN215" s="740"/>
      <c r="CO215" s="740"/>
      <c r="CP215" s="740"/>
      <c r="CQ215" s="740"/>
      <c r="CR215" s="740"/>
      <c r="CS215" s="740"/>
      <c r="CT215" s="740"/>
      <c r="CU215" s="740"/>
      <c r="CV215" s="740"/>
      <c r="CW215" s="740"/>
      <c r="CX215" s="740"/>
      <c r="CY215" s="740"/>
      <c r="CZ215" s="740"/>
      <c r="DA215" s="740"/>
      <c r="DB215" s="740"/>
      <c r="DC215" s="740"/>
      <c r="DD215" s="740"/>
      <c r="DE215" s="740"/>
      <c r="DF215" s="740"/>
      <c r="DG215" s="740"/>
      <c r="DH215" s="740"/>
      <c r="DI215" s="740"/>
      <c r="DJ215" s="740"/>
      <c r="DK215" s="740"/>
      <c r="DL215" s="740"/>
      <c r="DM215" s="740"/>
      <c r="DN215" s="740"/>
      <c r="DO215" s="740"/>
      <c r="DP215" s="740"/>
      <c r="DQ215" s="740"/>
      <c r="DR215" s="740"/>
      <c r="DS215" s="740"/>
      <c r="DT215" s="740"/>
      <c r="DU215" s="740"/>
      <c r="DV215" s="740"/>
      <c r="DW215" s="740"/>
      <c r="DX215" s="740"/>
      <c r="DY215" s="740"/>
      <c r="DZ215" s="740"/>
      <c r="EA215" s="740"/>
      <c r="EB215" s="740"/>
      <c r="EC215" s="740"/>
      <c r="ED215" s="740"/>
      <c r="EE215" s="740"/>
      <c r="EF215" s="740"/>
      <c r="EG215" s="740"/>
      <c r="EH215" s="740"/>
      <c r="EI215" s="740"/>
      <c r="EJ215" s="740"/>
      <c r="EK215" s="740"/>
      <c r="EL215" s="740"/>
      <c r="EM215" s="740"/>
      <c r="EN215" s="740"/>
      <c r="EO215" s="740"/>
      <c r="EP215" s="740"/>
      <c r="EQ215" s="740"/>
      <c r="ER215" s="740"/>
      <c r="ES215" s="740"/>
      <c r="ET215" s="740"/>
      <c r="EU215" s="740"/>
      <c r="EV215" s="740"/>
      <c r="EW215" s="740"/>
      <c r="EX215" s="740"/>
      <c r="EY215" s="740"/>
      <c r="EZ215" s="740"/>
      <c r="FA215" s="740"/>
      <c r="FB215" s="740"/>
      <c r="FC215" s="740"/>
      <c r="FD215" s="740"/>
      <c r="FE215" s="740"/>
      <c r="FF215" s="740"/>
      <c r="FG215" s="740"/>
      <c r="FH215" s="740"/>
      <c r="FI215" s="740"/>
      <c r="FJ215" s="740"/>
      <c r="FK215" s="740"/>
      <c r="FL215" s="740"/>
      <c r="FM215" s="740"/>
      <c r="FN215" s="740"/>
      <c r="FO215" s="740"/>
      <c r="FP215" s="740"/>
      <c r="FQ215" s="740"/>
      <c r="FR215" s="740"/>
      <c r="FS215" s="740"/>
      <c r="FT215" s="740"/>
      <c r="FU215" s="740"/>
      <c r="FV215" s="740"/>
      <c r="FW215" s="740"/>
      <c r="FX215" s="740"/>
      <c r="FY215" s="740"/>
      <c r="FZ215" s="740"/>
      <c r="GA215" s="740"/>
      <c r="GB215" s="740"/>
      <c r="GC215" s="740"/>
      <c r="GD215" s="740"/>
      <c r="GE215" s="740"/>
      <c r="GF215" s="740"/>
      <c r="GG215" s="740"/>
      <c r="GH215" s="740"/>
      <c r="GI215" s="740"/>
      <c r="GJ215" s="740"/>
      <c r="GK215" s="740"/>
      <c r="GL215" s="740"/>
      <c r="GM215" s="740"/>
      <c r="GN215" s="740"/>
      <c r="GO215" s="740"/>
      <c r="GP215" s="740"/>
      <c r="GQ215" s="740"/>
      <c r="GR215" s="740"/>
      <c r="GS215" s="740"/>
      <c r="GT215" s="740"/>
      <c r="GU215" s="740"/>
      <c r="GV215" s="740"/>
      <c r="GW215" s="740"/>
    </row>
    <row r="216" spans="18:205" ht="24" customHeight="1" x14ac:dyDescent="0.2">
      <c r="R216" s="740"/>
      <c r="S216" s="740"/>
      <c r="T216" s="740"/>
      <c r="U216" s="740"/>
      <c r="V216" s="740"/>
      <c r="W216" s="740"/>
      <c r="X216" s="740"/>
      <c r="Y216" s="740"/>
      <c r="Z216" s="740"/>
      <c r="AA216" s="740"/>
      <c r="AB216" s="740"/>
      <c r="AC216" s="740"/>
      <c r="AD216" s="740"/>
      <c r="AE216" s="740"/>
      <c r="AF216" s="740"/>
      <c r="AG216" s="740"/>
      <c r="AH216" s="740"/>
      <c r="AI216" s="740"/>
      <c r="AJ216" s="740"/>
      <c r="AK216" s="740"/>
      <c r="AL216" s="740"/>
      <c r="AM216" s="740"/>
      <c r="AN216" s="740"/>
      <c r="AO216" s="740"/>
      <c r="AP216" s="740"/>
      <c r="AQ216" s="740"/>
      <c r="AR216" s="740"/>
      <c r="AS216" s="740"/>
      <c r="AT216" s="740"/>
      <c r="AU216" s="740"/>
      <c r="AV216" s="740"/>
      <c r="AW216" s="740"/>
      <c r="AX216" s="740"/>
      <c r="AY216" s="740"/>
      <c r="AZ216" s="740"/>
      <c r="BA216" s="740"/>
      <c r="BB216" s="740"/>
      <c r="BC216" s="740"/>
      <c r="BD216" s="740"/>
      <c r="BE216" s="740"/>
      <c r="BF216" s="740"/>
      <c r="BG216" s="740"/>
      <c r="BH216" s="740"/>
      <c r="BI216" s="740"/>
      <c r="BJ216" s="740"/>
      <c r="BK216" s="740"/>
      <c r="BL216" s="740"/>
      <c r="BM216" s="740"/>
      <c r="BN216" s="740"/>
      <c r="BO216" s="740"/>
      <c r="BP216" s="740"/>
      <c r="BQ216" s="740"/>
      <c r="BR216" s="740"/>
      <c r="BS216" s="740"/>
      <c r="BT216" s="740"/>
      <c r="BU216" s="740"/>
      <c r="BV216" s="740"/>
      <c r="BW216" s="740"/>
      <c r="BX216" s="740"/>
      <c r="BY216" s="740"/>
      <c r="BZ216" s="740"/>
      <c r="CA216" s="740"/>
      <c r="CB216" s="740"/>
      <c r="CC216" s="740"/>
      <c r="CD216" s="740"/>
      <c r="CE216" s="740"/>
      <c r="CF216" s="740"/>
      <c r="CG216" s="740"/>
      <c r="CH216" s="740"/>
      <c r="CI216" s="740"/>
      <c r="CJ216" s="740"/>
      <c r="CK216" s="740"/>
      <c r="CL216" s="740"/>
      <c r="CM216" s="740"/>
      <c r="CN216" s="740"/>
      <c r="CO216" s="740"/>
      <c r="CP216" s="740"/>
      <c r="CQ216" s="740"/>
      <c r="CR216" s="740"/>
      <c r="CS216" s="740"/>
      <c r="CT216" s="740"/>
      <c r="CU216" s="740"/>
      <c r="CV216" s="740"/>
      <c r="CW216" s="740"/>
      <c r="CX216" s="740"/>
      <c r="CY216" s="740"/>
      <c r="CZ216" s="740"/>
      <c r="DA216" s="740"/>
      <c r="DB216" s="740"/>
      <c r="DC216" s="740"/>
      <c r="DD216" s="740"/>
      <c r="DE216" s="740"/>
      <c r="DF216" s="740"/>
      <c r="DG216" s="740"/>
      <c r="DH216" s="740"/>
      <c r="DI216" s="740"/>
      <c r="DJ216" s="740"/>
      <c r="DK216" s="740"/>
      <c r="DL216" s="740"/>
      <c r="DM216" s="740"/>
      <c r="DN216" s="740"/>
      <c r="DO216" s="740"/>
      <c r="DP216" s="740"/>
      <c r="DQ216" s="740"/>
      <c r="DR216" s="740"/>
      <c r="DS216" s="740"/>
      <c r="DT216" s="740"/>
      <c r="DU216" s="740"/>
      <c r="DV216" s="740"/>
      <c r="DW216" s="740"/>
      <c r="DX216" s="740"/>
      <c r="DY216" s="740"/>
      <c r="DZ216" s="740"/>
      <c r="EA216" s="740"/>
      <c r="EB216" s="740"/>
      <c r="EC216" s="740"/>
      <c r="ED216" s="740"/>
      <c r="EE216" s="740"/>
      <c r="EF216" s="740"/>
      <c r="EG216" s="740"/>
      <c r="EH216" s="740"/>
      <c r="EI216" s="740"/>
      <c r="EJ216" s="740"/>
      <c r="EK216" s="740"/>
      <c r="EL216" s="740"/>
      <c r="EM216" s="740"/>
      <c r="EN216" s="740"/>
      <c r="EO216" s="740"/>
      <c r="EP216" s="740"/>
      <c r="EQ216" s="740"/>
      <c r="ER216" s="740"/>
      <c r="ES216" s="740"/>
      <c r="ET216" s="740"/>
      <c r="EU216" s="740"/>
      <c r="EV216" s="740"/>
      <c r="EW216" s="740"/>
      <c r="EX216" s="740"/>
      <c r="EY216" s="740"/>
      <c r="EZ216" s="740"/>
      <c r="FA216" s="740"/>
      <c r="FB216" s="740"/>
      <c r="FC216" s="740"/>
      <c r="FD216" s="740"/>
      <c r="FE216" s="740"/>
      <c r="FF216" s="740"/>
      <c r="FG216" s="740"/>
      <c r="FH216" s="740"/>
      <c r="FI216" s="740"/>
      <c r="FJ216" s="740"/>
      <c r="FK216" s="740"/>
      <c r="FL216" s="740"/>
      <c r="FM216" s="740"/>
      <c r="FN216" s="740"/>
      <c r="FO216" s="740"/>
      <c r="FP216" s="740"/>
      <c r="FQ216" s="740"/>
      <c r="FR216" s="740"/>
      <c r="FS216" s="740"/>
      <c r="FT216" s="740"/>
      <c r="FU216" s="740"/>
      <c r="FV216" s="740"/>
      <c r="FW216" s="740"/>
      <c r="FX216" s="740"/>
      <c r="FY216" s="740"/>
      <c r="FZ216" s="740"/>
      <c r="GA216" s="740"/>
      <c r="GB216" s="740"/>
      <c r="GC216" s="740"/>
      <c r="GD216" s="740"/>
      <c r="GE216" s="740"/>
      <c r="GF216" s="740"/>
      <c r="GG216" s="740"/>
      <c r="GH216" s="740"/>
      <c r="GI216" s="740"/>
      <c r="GJ216" s="740"/>
      <c r="GK216" s="740"/>
      <c r="GL216" s="740"/>
      <c r="GM216" s="740"/>
      <c r="GN216" s="740"/>
      <c r="GO216" s="740"/>
      <c r="GP216" s="740"/>
      <c r="GQ216" s="740"/>
      <c r="GR216" s="740"/>
      <c r="GS216" s="740"/>
      <c r="GT216" s="740"/>
      <c r="GU216" s="740"/>
      <c r="GV216" s="740"/>
      <c r="GW216" s="740"/>
    </row>
    <row r="217" spans="18:205" ht="24" customHeight="1" x14ac:dyDescent="0.2">
      <c r="R217" s="740"/>
      <c r="S217" s="740"/>
      <c r="T217" s="740"/>
      <c r="U217" s="740"/>
      <c r="V217" s="740"/>
      <c r="W217" s="740"/>
      <c r="X217" s="740"/>
      <c r="Y217" s="740"/>
      <c r="Z217" s="740"/>
      <c r="AA217" s="740"/>
      <c r="AB217" s="740"/>
      <c r="AC217" s="740"/>
      <c r="AD217" s="740"/>
      <c r="AE217" s="740"/>
      <c r="AF217" s="740"/>
      <c r="AG217" s="740"/>
      <c r="AH217" s="740"/>
      <c r="AI217" s="740"/>
      <c r="AJ217" s="740"/>
      <c r="AK217" s="740"/>
      <c r="AL217" s="740"/>
      <c r="AM217" s="740"/>
      <c r="AN217" s="740"/>
      <c r="AO217" s="740"/>
      <c r="AP217" s="740"/>
      <c r="AQ217" s="740"/>
      <c r="AR217" s="740"/>
      <c r="AS217" s="740"/>
      <c r="AT217" s="740"/>
      <c r="AU217" s="740"/>
      <c r="AV217" s="740"/>
      <c r="AW217" s="740"/>
      <c r="AX217" s="740"/>
      <c r="AY217" s="740"/>
      <c r="AZ217" s="740"/>
      <c r="BA217" s="740"/>
      <c r="BB217" s="740"/>
      <c r="BC217" s="740"/>
      <c r="BD217" s="740"/>
      <c r="BE217" s="740"/>
      <c r="BF217" s="740"/>
      <c r="BG217" s="740"/>
      <c r="BH217" s="740"/>
      <c r="BI217" s="740"/>
      <c r="BJ217" s="740"/>
      <c r="BK217" s="740"/>
      <c r="BL217" s="740"/>
      <c r="BM217" s="740"/>
      <c r="BN217" s="740"/>
      <c r="BO217" s="740"/>
      <c r="BP217" s="740"/>
      <c r="BQ217" s="740"/>
      <c r="BR217" s="740"/>
      <c r="BS217" s="740"/>
      <c r="BT217" s="740"/>
      <c r="BU217" s="740"/>
      <c r="BV217" s="740"/>
      <c r="BW217" s="740"/>
      <c r="BX217" s="740"/>
      <c r="BY217" s="740"/>
      <c r="BZ217" s="740"/>
      <c r="CA217" s="740"/>
      <c r="CB217" s="740"/>
      <c r="CC217" s="740"/>
      <c r="CD217" s="740"/>
      <c r="CE217" s="740"/>
      <c r="CF217" s="740"/>
      <c r="CG217" s="740"/>
      <c r="CH217" s="740"/>
      <c r="CI217" s="740"/>
      <c r="CJ217" s="740"/>
      <c r="CK217" s="740"/>
      <c r="CL217" s="740"/>
      <c r="CM217" s="740"/>
      <c r="CN217" s="740"/>
      <c r="CO217" s="740"/>
      <c r="CP217" s="740"/>
      <c r="CQ217" s="740"/>
      <c r="CR217" s="740"/>
      <c r="CS217" s="740"/>
      <c r="CT217" s="740"/>
      <c r="CU217" s="740"/>
      <c r="CV217" s="740"/>
      <c r="CW217" s="740"/>
      <c r="CX217" s="740"/>
      <c r="CY217" s="740"/>
      <c r="CZ217" s="740"/>
      <c r="DA217" s="740"/>
      <c r="DB217" s="740"/>
      <c r="DC217" s="740"/>
      <c r="DD217" s="740"/>
      <c r="DE217" s="740"/>
      <c r="DF217" s="740"/>
      <c r="DG217" s="740"/>
      <c r="DH217" s="740"/>
      <c r="DI217" s="740"/>
      <c r="DJ217" s="740"/>
      <c r="DK217" s="740"/>
      <c r="DL217" s="740"/>
      <c r="DM217" s="740"/>
      <c r="DN217" s="740"/>
      <c r="DO217" s="740"/>
      <c r="DP217" s="740"/>
      <c r="DQ217" s="740"/>
      <c r="DR217" s="740"/>
      <c r="DS217" s="740"/>
      <c r="DT217" s="740"/>
      <c r="DU217" s="740"/>
      <c r="DV217" s="740"/>
      <c r="DW217" s="740"/>
      <c r="DX217" s="740"/>
      <c r="DY217" s="740"/>
      <c r="DZ217" s="740"/>
      <c r="EA217" s="740"/>
      <c r="EB217" s="740"/>
      <c r="EC217" s="740"/>
      <c r="ED217" s="740"/>
      <c r="EE217" s="740"/>
      <c r="EF217" s="740"/>
      <c r="EG217" s="740"/>
      <c r="EH217" s="740"/>
      <c r="EI217" s="740"/>
      <c r="EJ217" s="740"/>
      <c r="EK217" s="740"/>
      <c r="EL217" s="740"/>
      <c r="EM217" s="740"/>
      <c r="EN217" s="740"/>
      <c r="EO217" s="740"/>
      <c r="EP217" s="740"/>
      <c r="EQ217" s="740"/>
      <c r="ER217" s="740"/>
      <c r="ES217" s="740"/>
      <c r="ET217" s="740"/>
      <c r="EU217" s="740"/>
      <c r="EV217" s="740"/>
      <c r="EW217" s="740"/>
      <c r="EX217" s="740"/>
      <c r="EY217" s="740"/>
      <c r="EZ217" s="740"/>
      <c r="FA217" s="740"/>
      <c r="FB217" s="740"/>
      <c r="FC217" s="740"/>
      <c r="FD217" s="740"/>
      <c r="FE217" s="740"/>
      <c r="FF217" s="740"/>
      <c r="FG217" s="740"/>
      <c r="FH217" s="740"/>
      <c r="FI217" s="740"/>
      <c r="FJ217" s="740"/>
      <c r="FK217" s="740"/>
      <c r="FL217" s="740"/>
      <c r="FM217" s="740"/>
      <c r="FN217" s="740"/>
      <c r="FO217" s="740"/>
      <c r="FP217" s="740"/>
      <c r="FQ217" s="740"/>
      <c r="FR217" s="740"/>
      <c r="FS217" s="740"/>
      <c r="FT217" s="740"/>
      <c r="FU217" s="740"/>
      <c r="FV217" s="740"/>
      <c r="FW217" s="740"/>
      <c r="FX217" s="740"/>
      <c r="FY217" s="740"/>
      <c r="FZ217" s="740"/>
      <c r="GA217" s="740"/>
      <c r="GB217" s="740"/>
      <c r="GC217" s="740"/>
      <c r="GD217" s="740"/>
      <c r="GE217" s="740"/>
      <c r="GF217" s="740"/>
      <c r="GG217" s="740"/>
      <c r="GH217" s="740"/>
      <c r="GI217" s="740"/>
      <c r="GJ217" s="740"/>
      <c r="GK217" s="740"/>
      <c r="GL217" s="740"/>
      <c r="GM217" s="740"/>
      <c r="GN217" s="740"/>
      <c r="GO217" s="740"/>
      <c r="GP217" s="740"/>
      <c r="GQ217" s="740"/>
      <c r="GR217" s="740"/>
      <c r="GS217" s="740"/>
      <c r="GT217" s="740"/>
      <c r="GU217" s="740"/>
      <c r="GV217" s="740"/>
      <c r="GW217" s="740"/>
    </row>
    <row r="218" spans="18:205" ht="24" customHeight="1" x14ac:dyDescent="0.2">
      <c r="R218" s="740"/>
      <c r="S218" s="740"/>
      <c r="T218" s="740"/>
      <c r="U218" s="740"/>
      <c r="V218" s="740"/>
      <c r="W218" s="740"/>
      <c r="X218" s="740"/>
      <c r="Y218" s="740"/>
      <c r="Z218" s="740"/>
      <c r="AA218" s="740"/>
      <c r="AB218" s="740"/>
      <c r="AC218" s="740"/>
      <c r="AD218" s="740"/>
      <c r="AE218" s="740"/>
      <c r="AF218" s="740"/>
      <c r="AG218" s="740"/>
      <c r="AH218" s="740"/>
      <c r="AI218" s="740"/>
      <c r="AJ218" s="740"/>
      <c r="AK218" s="740"/>
      <c r="AL218" s="740"/>
      <c r="AM218" s="740"/>
      <c r="AN218" s="740"/>
      <c r="AO218" s="740"/>
      <c r="AP218" s="740"/>
      <c r="AQ218" s="740"/>
      <c r="AR218" s="740"/>
      <c r="AS218" s="740"/>
      <c r="AT218" s="740"/>
      <c r="AU218" s="740"/>
      <c r="AV218" s="740"/>
      <c r="AW218" s="740"/>
      <c r="AX218" s="740"/>
      <c r="AY218" s="740"/>
      <c r="AZ218" s="740"/>
      <c r="BA218" s="740"/>
      <c r="BB218" s="740"/>
      <c r="BC218" s="740"/>
      <c r="BD218" s="740"/>
      <c r="BE218" s="740"/>
      <c r="BF218" s="740"/>
      <c r="BG218" s="740"/>
      <c r="BH218" s="740"/>
      <c r="BI218" s="740"/>
      <c r="BJ218" s="740"/>
      <c r="BK218" s="740"/>
      <c r="BL218" s="740"/>
      <c r="BM218" s="740"/>
      <c r="BN218" s="740"/>
      <c r="BO218" s="740"/>
      <c r="BP218" s="740"/>
      <c r="BQ218" s="740"/>
      <c r="BR218" s="740"/>
      <c r="BS218" s="740"/>
      <c r="BT218" s="740"/>
      <c r="BU218" s="740"/>
      <c r="BV218" s="740"/>
      <c r="BW218" s="740"/>
      <c r="BX218" s="740"/>
      <c r="BY218" s="740"/>
      <c r="BZ218" s="740"/>
      <c r="CA218" s="740"/>
      <c r="CB218" s="740"/>
      <c r="CC218" s="740"/>
      <c r="CD218" s="740"/>
      <c r="CE218" s="740"/>
      <c r="CF218" s="740"/>
      <c r="CG218" s="740"/>
      <c r="CH218" s="740"/>
      <c r="CI218" s="740"/>
      <c r="CJ218" s="740"/>
      <c r="CK218" s="740"/>
      <c r="CL218" s="740"/>
      <c r="CM218" s="740"/>
      <c r="CN218" s="740"/>
      <c r="CO218" s="740"/>
      <c r="CP218" s="740"/>
      <c r="CQ218" s="740"/>
      <c r="CR218" s="740"/>
      <c r="CS218" s="740"/>
      <c r="CT218" s="740"/>
      <c r="CU218" s="740"/>
      <c r="CV218" s="740"/>
      <c r="CW218" s="740"/>
      <c r="CX218" s="740"/>
      <c r="CY218" s="740"/>
      <c r="CZ218" s="740"/>
      <c r="DA218" s="740"/>
      <c r="DB218" s="740"/>
      <c r="DC218" s="740"/>
      <c r="DD218" s="740"/>
      <c r="DE218" s="740"/>
      <c r="DF218" s="740"/>
      <c r="DG218" s="740"/>
      <c r="DH218" s="740"/>
      <c r="DI218" s="740"/>
      <c r="DJ218" s="740"/>
      <c r="DK218" s="740"/>
      <c r="DL218" s="740"/>
      <c r="DM218" s="740"/>
      <c r="DN218" s="740"/>
      <c r="DO218" s="740"/>
      <c r="DP218" s="740"/>
      <c r="DQ218" s="740"/>
      <c r="DR218" s="740"/>
      <c r="DS218" s="740"/>
      <c r="DT218" s="740"/>
      <c r="DU218" s="740"/>
      <c r="DV218" s="740"/>
      <c r="DW218" s="740"/>
      <c r="DX218" s="740"/>
      <c r="DY218" s="740"/>
      <c r="DZ218" s="740"/>
      <c r="EA218" s="740"/>
      <c r="EB218" s="740"/>
      <c r="EC218" s="740"/>
      <c r="ED218" s="740"/>
      <c r="EE218" s="740"/>
      <c r="EF218" s="740"/>
      <c r="EG218" s="740"/>
      <c r="EH218" s="740"/>
      <c r="EI218" s="740"/>
      <c r="EJ218" s="740"/>
      <c r="EK218" s="740"/>
      <c r="EL218" s="740"/>
      <c r="EM218" s="740"/>
      <c r="EN218" s="740"/>
      <c r="EO218" s="740"/>
      <c r="EP218" s="740"/>
      <c r="EQ218" s="740"/>
      <c r="ER218" s="740"/>
      <c r="ES218" s="740"/>
      <c r="ET218" s="740"/>
      <c r="EU218" s="740"/>
      <c r="EV218" s="740"/>
      <c r="EW218" s="740"/>
      <c r="EX218" s="740"/>
      <c r="EY218" s="740"/>
      <c r="EZ218" s="740"/>
      <c r="FA218" s="740"/>
      <c r="FB218" s="740"/>
      <c r="FC218" s="740"/>
      <c r="FD218" s="740"/>
      <c r="FE218" s="740"/>
      <c r="FF218" s="740"/>
      <c r="FG218" s="740"/>
      <c r="FH218" s="740"/>
      <c r="FI218" s="740"/>
      <c r="FJ218" s="740"/>
      <c r="FK218" s="740"/>
      <c r="FL218" s="740"/>
      <c r="FM218" s="740"/>
      <c r="FN218" s="740"/>
      <c r="FO218" s="740"/>
      <c r="FP218" s="740"/>
      <c r="FQ218" s="740"/>
      <c r="FR218" s="740"/>
      <c r="FS218" s="740"/>
      <c r="FT218" s="740"/>
      <c r="FU218" s="740"/>
      <c r="FV218" s="740"/>
      <c r="FW218" s="740"/>
      <c r="FX218" s="740"/>
      <c r="FY218" s="740"/>
      <c r="FZ218" s="740"/>
      <c r="GA218" s="740"/>
      <c r="GB218" s="740"/>
      <c r="GC218" s="740"/>
      <c r="GD218" s="740"/>
      <c r="GE218" s="740"/>
      <c r="GF218" s="740"/>
      <c r="GG218" s="740"/>
      <c r="GH218" s="740"/>
      <c r="GI218" s="740"/>
      <c r="GJ218" s="740"/>
      <c r="GK218" s="740"/>
      <c r="GL218" s="740"/>
      <c r="GM218" s="740"/>
      <c r="GN218" s="740"/>
      <c r="GO218" s="740"/>
      <c r="GP218" s="740"/>
      <c r="GQ218" s="740"/>
      <c r="GR218" s="740"/>
      <c r="GS218" s="740"/>
      <c r="GT218" s="740"/>
      <c r="GU218" s="740"/>
      <c r="GV218" s="740"/>
      <c r="GW218" s="740"/>
    </row>
    <row r="219" spans="18:205" ht="24" customHeight="1" x14ac:dyDescent="0.2">
      <c r="R219" s="740"/>
      <c r="S219" s="740"/>
      <c r="T219" s="740"/>
      <c r="U219" s="740"/>
      <c r="V219" s="740"/>
      <c r="W219" s="740"/>
      <c r="X219" s="740"/>
      <c r="Y219" s="740"/>
      <c r="Z219" s="740"/>
      <c r="AA219" s="740"/>
      <c r="AB219" s="740"/>
      <c r="AC219" s="740"/>
      <c r="AD219" s="740"/>
      <c r="AE219" s="740"/>
      <c r="AF219" s="740"/>
      <c r="AG219" s="740"/>
      <c r="AH219" s="740"/>
      <c r="AI219" s="740"/>
      <c r="AJ219" s="740"/>
      <c r="AK219" s="740"/>
      <c r="AL219" s="740"/>
      <c r="AM219" s="740"/>
      <c r="AN219" s="740"/>
      <c r="AO219" s="740"/>
      <c r="AP219" s="740"/>
      <c r="AQ219" s="740"/>
      <c r="AR219" s="740"/>
      <c r="AS219" s="740"/>
      <c r="AT219" s="740"/>
      <c r="AU219" s="740"/>
      <c r="AV219" s="740"/>
      <c r="AW219" s="740"/>
      <c r="AX219" s="740"/>
      <c r="AY219" s="740"/>
      <c r="AZ219" s="740"/>
      <c r="BA219" s="740"/>
      <c r="BB219" s="740"/>
      <c r="BC219" s="740"/>
      <c r="BD219" s="740"/>
      <c r="BE219" s="740"/>
      <c r="BF219" s="740"/>
      <c r="BG219" s="740"/>
      <c r="BH219" s="740"/>
      <c r="BI219" s="740"/>
      <c r="BJ219" s="740"/>
      <c r="BK219" s="740"/>
      <c r="BL219" s="740"/>
      <c r="BM219" s="740"/>
      <c r="BN219" s="740"/>
      <c r="BO219" s="740"/>
      <c r="BP219" s="740"/>
      <c r="BQ219" s="740"/>
      <c r="BR219" s="740"/>
      <c r="BS219" s="740"/>
      <c r="BT219" s="740"/>
      <c r="BU219" s="740"/>
      <c r="BV219" s="740"/>
      <c r="BW219" s="740"/>
      <c r="BX219" s="740"/>
      <c r="BY219" s="740"/>
      <c r="BZ219" s="740"/>
      <c r="CA219" s="740"/>
      <c r="CB219" s="740"/>
      <c r="CC219" s="740"/>
      <c r="CD219" s="740"/>
      <c r="CE219" s="740"/>
      <c r="CF219" s="740"/>
      <c r="CG219" s="740"/>
      <c r="CH219" s="740"/>
      <c r="CI219" s="740"/>
      <c r="CJ219" s="740"/>
      <c r="CK219" s="740"/>
      <c r="CL219" s="740"/>
      <c r="CM219" s="740"/>
      <c r="CN219" s="740"/>
      <c r="CO219" s="740"/>
      <c r="CP219" s="740"/>
      <c r="CQ219" s="740"/>
      <c r="CR219" s="740"/>
      <c r="CS219" s="740"/>
      <c r="CT219" s="740"/>
      <c r="CU219" s="740"/>
      <c r="CV219" s="740"/>
      <c r="CW219" s="740"/>
      <c r="CX219" s="740"/>
      <c r="CY219" s="740"/>
      <c r="CZ219" s="740"/>
      <c r="DA219" s="740"/>
      <c r="DB219" s="740"/>
      <c r="DC219" s="740"/>
      <c r="DD219" s="740"/>
      <c r="DE219" s="740"/>
      <c r="DF219" s="740"/>
      <c r="DG219" s="740"/>
      <c r="DH219" s="740"/>
      <c r="DI219" s="740"/>
      <c r="DJ219" s="740"/>
      <c r="DK219" s="740"/>
      <c r="DL219" s="740"/>
      <c r="DM219" s="740"/>
      <c r="DN219" s="740"/>
      <c r="DO219" s="740"/>
      <c r="DP219" s="740"/>
      <c r="DQ219" s="740"/>
      <c r="DR219" s="740"/>
      <c r="DS219" s="740"/>
      <c r="DT219" s="740"/>
      <c r="DU219" s="740"/>
      <c r="DV219" s="740"/>
      <c r="DW219" s="740"/>
      <c r="DX219" s="740"/>
      <c r="DY219" s="740"/>
      <c r="DZ219" s="740"/>
      <c r="EA219" s="740"/>
      <c r="EB219" s="740"/>
      <c r="EC219" s="740"/>
      <c r="ED219" s="740"/>
      <c r="EE219" s="740"/>
      <c r="EF219" s="740"/>
      <c r="EG219" s="740"/>
      <c r="EH219" s="740"/>
      <c r="EI219" s="740"/>
      <c r="EJ219" s="740"/>
      <c r="EK219" s="740"/>
      <c r="EL219" s="740"/>
      <c r="EM219" s="740"/>
      <c r="EN219" s="740"/>
      <c r="EO219" s="740"/>
      <c r="EP219" s="740"/>
      <c r="EQ219" s="740"/>
      <c r="ER219" s="740"/>
      <c r="ES219" s="740"/>
      <c r="ET219" s="740"/>
      <c r="EU219" s="740"/>
      <c r="EV219" s="740"/>
      <c r="EW219" s="740"/>
      <c r="EX219" s="740"/>
      <c r="EY219" s="740"/>
      <c r="EZ219" s="740"/>
      <c r="FA219" s="740"/>
      <c r="FB219" s="740"/>
      <c r="FC219" s="740"/>
      <c r="FD219" s="740"/>
      <c r="FE219" s="740"/>
      <c r="FF219" s="740"/>
      <c r="FG219" s="740"/>
      <c r="FH219" s="740"/>
      <c r="FI219" s="740"/>
      <c r="FJ219" s="740"/>
      <c r="FK219" s="740"/>
      <c r="FL219" s="740"/>
      <c r="FM219" s="740"/>
      <c r="FN219" s="740"/>
      <c r="FO219" s="740"/>
      <c r="FP219" s="740"/>
      <c r="FQ219" s="740"/>
      <c r="FR219" s="740"/>
      <c r="FS219" s="740"/>
      <c r="FT219" s="740"/>
      <c r="FU219" s="740"/>
      <c r="FV219" s="740"/>
      <c r="FW219" s="740"/>
      <c r="FX219" s="740"/>
      <c r="FY219" s="740"/>
      <c r="FZ219" s="740"/>
      <c r="GA219" s="740"/>
      <c r="GB219" s="740"/>
      <c r="GC219" s="740"/>
      <c r="GD219" s="740"/>
      <c r="GE219" s="740"/>
      <c r="GF219" s="740"/>
      <c r="GG219" s="740"/>
      <c r="GH219" s="740"/>
      <c r="GI219" s="740"/>
      <c r="GJ219" s="740"/>
      <c r="GK219" s="740"/>
      <c r="GL219" s="740"/>
      <c r="GM219" s="740"/>
      <c r="GN219" s="740"/>
      <c r="GO219" s="740"/>
      <c r="GP219" s="740"/>
      <c r="GQ219" s="740"/>
      <c r="GR219" s="740"/>
      <c r="GS219" s="740"/>
      <c r="GT219" s="740"/>
      <c r="GU219" s="740"/>
      <c r="GV219" s="740"/>
      <c r="GW219" s="740"/>
    </row>
    <row r="220" spans="18:205" ht="24" customHeight="1" x14ac:dyDescent="0.2">
      <c r="R220" s="740"/>
      <c r="S220" s="740"/>
      <c r="T220" s="740"/>
      <c r="U220" s="740"/>
      <c r="V220" s="740"/>
      <c r="W220" s="740"/>
      <c r="X220" s="740"/>
      <c r="Y220" s="740"/>
      <c r="Z220" s="740"/>
      <c r="AA220" s="740"/>
      <c r="AB220" s="740"/>
      <c r="AC220" s="740"/>
      <c r="AD220" s="740"/>
      <c r="AE220" s="740"/>
      <c r="AF220" s="740"/>
      <c r="AG220" s="740"/>
      <c r="AH220" s="740"/>
      <c r="AI220" s="740"/>
      <c r="AJ220" s="740"/>
      <c r="AK220" s="740"/>
      <c r="AL220" s="740"/>
      <c r="AM220" s="740"/>
      <c r="AN220" s="740"/>
      <c r="AO220" s="740"/>
      <c r="AP220" s="740"/>
      <c r="AQ220" s="740"/>
      <c r="AR220" s="740"/>
      <c r="AS220" s="740"/>
      <c r="AT220" s="740"/>
      <c r="AU220" s="740"/>
      <c r="AV220" s="740"/>
      <c r="AW220" s="740"/>
      <c r="AX220" s="740"/>
      <c r="AY220" s="740"/>
      <c r="AZ220" s="740"/>
      <c r="BA220" s="740"/>
      <c r="BB220" s="740"/>
      <c r="BC220" s="740"/>
      <c r="BD220" s="740"/>
      <c r="BE220" s="740"/>
      <c r="BF220" s="740"/>
      <c r="BG220" s="740"/>
      <c r="BH220" s="740"/>
      <c r="BI220" s="740"/>
      <c r="BJ220" s="740"/>
      <c r="BK220" s="740"/>
      <c r="BL220" s="740"/>
      <c r="BM220" s="740"/>
      <c r="BN220" s="740"/>
      <c r="BO220" s="740"/>
      <c r="BP220" s="740"/>
      <c r="BQ220" s="740"/>
      <c r="BR220" s="740"/>
      <c r="BS220" s="740"/>
      <c r="BT220" s="740"/>
      <c r="BU220" s="740"/>
      <c r="BV220" s="740"/>
      <c r="BW220" s="740"/>
      <c r="BX220" s="740"/>
      <c r="BY220" s="740"/>
      <c r="BZ220" s="740"/>
      <c r="CA220" s="740"/>
      <c r="CB220" s="740"/>
      <c r="CC220" s="740"/>
      <c r="CD220" s="740"/>
      <c r="CE220" s="740"/>
      <c r="CF220" s="740"/>
      <c r="CG220" s="740"/>
      <c r="CH220" s="740"/>
      <c r="CI220" s="740"/>
      <c r="CJ220" s="740"/>
      <c r="CK220" s="740"/>
      <c r="CL220" s="740"/>
      <c r="CM220" s="740"/>
      <c r="CN220" s="740"/>
      <c r="CO220" s="740"/>
      <c r="CP220" s="740"/>
      <c r="CQ220" s="740"/>
      <c r="CR220" s="740"/>
      <c r="CS220" s="740"/>
      <c r="CT220" s="740"/>
      <c r="CU220" s="740"/>
      <c r="CV220" s="740"/>
      <c r="CW220" s="740"/>
      <c r="CX220" s="740"/>
      <c r="CY220" s="740"/>
      <c r="CZ220" s="740"/>
      <c r="DA220" s="740"/>
      <c r="DB220" s="740"/>
      <c r="DC220" s="740"/>
      <c r="DD220" s="740"/>
      <c r="DE220" s="740"/>
      <c r="DF220" s="740"/>
      <c r="DG220" s="740"/>
      <c r="DH220" s="740"/>
      <c r="DI220" s="740"/>
      <c r="DJ220" s="740"/>
      <c r="DK220" s="740"/>
      <c r="DL220" s="740"/>
      <c r="DM220" s="740"/>
      <c r="DN220" s="740"/>
      <c r="DO220" s="740"/>
      <c r="DP220" s="740"/>
      <c r="DQ220" s="740"/>
      <c r="DR220" s="740"/>
      <c r="DS220" s="740"/>
      <c r="DT220" s="740"/>
      <c r="DU220" s="740"/>
      <c r="DV220" s="740"/>
      <c r="DW220" s="740"/>
      <c r="DX220" s="740"/>
      <c r="DY220" s="740"/>
      <c r="DZ220" s="740"/>
      <c r="EA220" s="740"/>
      <c r="EB220" s="740"/>
      <c r="EC220" s="740"/>
      <c r="ED220" s="740"/>
      <c r="EE220" s="740"/>
      <c r="EF220" s="740"/>
      <c r="EG220" s="740"/>
      <c r="EH220" s="740"/>
      <c r="EI220" s="740"/>
      <c r="EJ220" s="740"/>
      <c r="EK220" s="740"/>
      <c r="EL220" s="740"/>
      <c r="EM220" s="740"/>
      <c r="EN220" s="740"/>
      <c r="EO220" s="740"/>
      <c r="EP220" s="740"/>
      <c r="EQ220" s="740"/>
      <c r="ER220" s="740"/>
      <c r="ES220" s="740"/>
      <c r="ET220" s="740"/>
      <c r="EU220" s="740"/>
      <c r="EV220" s="740"/>
      <c r="EW220" s="740"/>
      <c r="EX220" s="740"/>
      <c r="EY220" s="740"/>
      <c r="EZ220" s="740"/>
      <c r="FA220" s="740"/>
      <c r="FB220" s="740"/>
      <c r="FC220" s="740"/>
      <c r="FD220" s="740"/>
      <c r="FE220" s="740"/>
      <c r="FF220" s="740"/>
      <c r="FG220" s="740"/>
      <c r="FH220" s="740"/>
      <c r="FI220" s="740"/>
      <c r="FJ220" s="740"/>
      <c r="FK220" s="740"/>
      <c r="FL220" s="740"/>
      <c r="FM220" s="740"/>
      <c r="FN220" s="740"/>
      <c r="FO220" s="740"/>
      <c r="FP220" s="740"/>
      <c r="FQ220" s="740"/>
      <c r="FR220" s="740"/>
      <c r="FS220" s="740"/>
      <c r="FT220" s="740"/>
      <c r="FU220" s="740"/>
      <c r="FV220" s="740"/>
      <c r="FW220" s="740"/>
      <c r="FX220" s="740"/>
      <c r="FY220" s="740"/>
      <c r="FZ220" s="740"/>
      <c r="GA220" s="740"/>
      <c r="GB220" s="740"/>
      <c r="GC220" s="740"/>
      <c r="GD220" s="740"/>
      <c r="GE220" s="740"/>
      <c r="GF220" s="740"/>
      <c r="GG220" s="740"/>
      <c r="GH220" s="740"/>
      <c r="GI220" s="740"/>
      <c r="GJ220" s="740"/>
      <c r="GK220" s="740"/>
      <c r="GL220" s="740"/>
      <c r="GM220" s="740"/>
      <c r="GN220" s="740"/>
      <c r="GO220" s="740"/>
      <c r="GP220" s="740"/>
      <c r="GQ220" s="740"/>
      <c r="GR220" s="740"/>
      <c r="GS220" s="740"/>
      <c r="GT220" s="740"/>
      <c r="GU220" s="740"/>
      <c r="GV220" s="740"/>
      <c r="GW220" s="740"/>
    </row>
    <row r="221" spans="18:205" ht="24" customHeight="1" x14ac:dyDescent="0.2">
      <c r="R221" s="740"/>
      <c r="S221" s="740"/>
      <c r="T221" s="740"/>
      <c r="U221" s="740"/>
      <c r="V221" s="740"/>
      <c r="W221" s="740"/>
      <c r="X221" s="740"/>
      <c r="Y221" s="740"/>
      <c r="Z221" s="740"/>
      <c r="AA221" s="740"/>
      <c r="AB221" s="740"/>
      <c r="AC221" s="740"/>
      <c r="AD221" s="740"/>
      <c r="AE221" s="740"/>
      <c r="AF221" s="740"/>
      <c r="AG221" s="740"/>
      <c r="AH221" s="740"/>
      <c r="AI221" s="740"/>
      <c r="AJ221" s="740"/>
      <c r="AK221" s="740"/>
      <c r="AL221" s="740"/>
      <c r="AM221" s="740"/>
      <c r="AN221" s="740"/>
      <c r="AO221" s="740"/>
      <c r="AP221" s="740"/>
      <c r="AQ221" s="740"/>
      <c r="AR221" s="740"/>
      <c r="AS221" s="740"/>
      <c r="AT221" s="740"/>
      <c r="AU221" s="740"/>
      <c r="AV221" s="740"/>
      <c r="AW221" s="740"/>
      <c r="AX221" s="740"/>
      <c r="AY221" s="740"/>
      <c r="AZ221" s="740"/>
      <c r="BA221" s="740"/>
      <c r="BB221" s="740"/>
      <c r="BC221" s="740"/>
      <c r="BD221" s="740"/>
      <c r="BE221" s="740"/>
      <c r="BF221" s="740"/>
      <c r="BG221" s="740"/>
      <c r="BH221" s="740"/>
      <c r="BI221" s="740"/>
      <c r="BJ221" s="740"/>
      <c r="BK221" s="740"/>
      <c r="BL221" s="740"/>
      <c r="BM221" s="740"/>
      <c r="BN221" s="740"/>
      <c r="BO221" s="740"/>
      <c r="BP221" s="740"/>
      <c r="BQ221" s="740"/>
      <c r="BR221" s="740"/>
      <c r="BS221" s="740"/>
      <c r="BT221" s="740"/>
      <c r="BU221" s="740"/>
      <c r="BV221" s="740"/>
      <c r="BW221" s="740"/>
      <c r="BX221" s="740"/>
      <c r="BY221" s="740"/>
      <c r="BZ221" s="740"/>
      <c r="CA221" s="740"/>
      <c r="CB221" s="740"/>
      <c r="CC221" s="740"/>
      <c r="CD221" s="740"/>
      <c r="CE221" s="740"/>
      <c r="CF221" s="740"/>
      <c r="CG221" s="740"/>
      <c r="CH221" s="740"/>
      <c r="CI221" s="740"/>
      <c r="CJ221" s="740"/>
      <c r="CK221" s="740"/>
      <c r="CL221" s="740"/>
      <c r="CM221" s="740"/>
      <c r="CN221" s="740"/>
      <c r="CO221" s="740"/>
      <c r="CP221" s="740"/>
      <c r="CQ221" s="740"/>
      <c r="CR221" s="740"/>
      <c r="CS221" s="740"/>
      <c r="CT221" s="740"/>
      <c r="CU221" s="740"/>
      <c r="CV221" s="740"/>
      <c r="CW221" s="740"/>
      <c r="CX221" s="740"/>
      <c r="CY221" s="740"/>
      <c r="CZ221" s="740"/>
      <c r="DA221" s="740"/>
      <c r="DB221" s="740"/>
      <c r="DC221" s="740"/>
      <c r="DD221" s="740"/>
      <c r="DE221" s="740"/>
      <c r="DF221" s="740"/>
      <c r="DG221" s="740"/>
      <c r="DH221" s="740"/>
      <c r="DI221" s="740"/>
      <c r="DJ221" s="740"/>
      <c r="DK221" s="740"/>
      <c r="DL221" s="740"/>
      <c r="DM221" s="740"/>
      <c r="DN221" s="740"/>
      <c r="DO221" s="740"/>
      <c r="DP221" s="740"/>
      <c r="DQ221" s="740"/>
      <c r="DR221" s="740"/>
      <c r="DS221" s="740"/>
      <c r="DT221" s="740"/>
      <c r="DU221" s="740"/>
      <c r="DV221" s="740"/>
      <c r="DW221" s="740"/>
      <c r="DX221" s="740"/>
      <c r="DY221" s="740"/>
      <c r="DZ221" s="740"/>
      <c r="EA221" s="740"/>
      <c r="EB221" s="740"/>
      <c r="EC221" s="740"/>
      <c r="ED221" s="740"/>
      <c r="EE221" s="740"/>
      <c r="EF221" s="740"/>
      <c r="EG221" s="740"/>
      <c r="EH221" s="740"/>
      <c r="EI221" s="740"/>
      <c r="EJ221" s="740"/>
      <c r="EK221" s="740"/>
      <c r="EL221" s="740"/>
      <c r="EM221" s="740"/>
      <c r="EN221" s="740"/>
      <c r="EO221" s="740"/>
      <c r="EP221" s="740"/>
      <c r="EQ221" s="740"/>
      <c r="ER221" s="740"/>
      <c r="ES221" s="740"/>
      <c r="ET221" s="740"/>
      <c r="EU221" s="740"/>
      <c r="EV221" s="740"/>
      <c r="EW221" s="740"/>
      <c r="EX221" s="740"/>
      <c r="EY221" s="740"/>
      <c r="EZ221" s="740"/>
      <c r="FA221" s="740"/>
      <c r="FB221" s="740"/>
      <c r="FC221" s="740"/>
      <c r="FD221" s="740"/>
      <c r="FE221" s="740"/>
      <c r="FF221" s="740"/>
      <c r="FG221" s="740"/>
      <c r="FH221" s="740"/>
      <c r="FI221" s="740"/>
      <c r="FJ221" s="740"/>
      <c r="FK221" s="740"/>
      <c r="FL221" s="740"/>
      <c r="FM221" s="740"/>
      <c r="FN221" s="740"/>
      <c r="FO221" s="740"/>
      <c r="FP221" s="740"/>
      <c r="FQ221" s="740"/>
      <c r="FR221" s="740"/>
      <c r="FS221" s="740"/>
      <c r="FT221" s="740"/>
      <c r="FU221" s="740"/>
      <c r="FV221" s="740"/>
      <c r="FW221" s="740"/>
      <c r="FX221" s="740"/>
      <c r="FY221" s="740"/>
      <c r="FZ221" s="740"/>
      <c r="GA221" s="740"/>
      <c r="GB221" s="740"/>
      <c r="GC221" s="740"/>
      <c r="GD221" s="740"/>
      <c r="GE221" s="740"/>
      <c r="GF221" s="740"/>
      <c r="GG221" s="740"/>
      <c r="GH221" s="740"/>
      <c r="GI221" s="740"/>
      <c r="GJ221" s="740"/>
      <c r="GK221" s="740"/>
      <c r="GL221" s="740"/>
      <c r="GM221" s="740"/>
      <c r="GN221" s="740"/>
      <c r="GO221" s="740"/>
      <c r="GP221" s="740"/>
      <c r="GQ221" s="740"/>
      <c r="GR221" s="740"/>
      <c r="GS221" s="740"/>
      <c r="GT221" s="740"/>
      <c r="GU221" s="740"/>
      <c r="GV221" s="740"/>
      <c r="GW221" s="740"/>
    </row>
    <row r="222" spans="18:205" ht="24" customHeight="1" x14ac:dyDescent="0.2">
      <c r="R222" s="740"/>
      <c r="S222" s="740"/>
      <c r="T222" s="740"/>
      <c r="U222" s="740"/>
      <c r="V222" s="740"/>
      <c r="W222" s="740"/>
      <c r="X222" s="740"/>
      <c r="Y222" s="740"/>
      <c r="Z222" s="740"/>
      <c r="AA222" s="740"/>
      <c r="AB222" s="740"/>
      <c r="AC222" s="740"/>
      <c r="AD222" s="740"/>
      <c r="AE222" s="740"/>
      <c r="AF222" s="740"/>
      <c r="AG222" s="740"/>
      <c r="AH222" s="740"/>
      <c r="AI222" s="740"/>
      <c r="AJ222" s="740"/>
      <c r="AK222" s="740"/>
      <c r="AL222" s="740"/>
      <c r="AM222" s="740"/>
      <c r="AN222" s="740"/>
      <c r="AO222" s="740"/>
      <c r="AP222" s="740"/>
      <c r="AQ222" s="740"/>
      <c r="AR222" s="740"/>
      <c r="AS222" s="740"/>
      <c r="AT222" s="740"/>
      <c r="AU222" s="740"/>
      <c r="AV222" s="740"/>
      <c r="AW222" s="740"/>
      <c r="AX222" s="740"/>
      <c r="AY222" s="740"/>
      <c r="AZ222" s="740"/>
      <c r="BA222" s="740"/>
      <c r="BB222" s="740"/>
      <c r="BC222" s="740"/>
      <c r="BD222" s="740"/>
      <c r="BE222" s="740"/>
      <c r="BF222" s="740"/>
      <c r="BG222" s="740"/>
      <c r="BH222" s="740"/>
      <c r="BI222" s="740"/>
      <c r="BJ222" s="740"/>
      <c r="BK222" s="740"/>
      <c r="BL222" s="740"/>
      <c r="BM222" s="740"/>
      <c r="BN222" s="740"/>
      <c r="BO222" s="740"/>
      <c r="BP222" s="740"/>
      <c r="BQ222" s="740"/>
      <c r="BR222" s="740"/>
      <c r="BS222" s="740"/>
      <c r="BT222" s="740"/>
      <c r="BU222" s="740"/>
      <c r="BV222" s="740"/>
      <c r="BW222" s="740"/>
      <c r="BX222" s="740"/>
      <c r="BY222" s="740"/>
      <c r="BZ222" s="740"/>
      <c r="CA222" s="740"/>
      <c r="CB222" s="740"/>
      <c r="CC222" s="740"/>
      <c r="CD222" s="740"/>
      <c r="CE222" s="740"/>
      <c r="CF222" s="740"/>
      <c r="CG222" s="740"/>
      <c r="CH222" s="740"/>
      <c r="CI222" s="740"/>
      <c r="CJ222" s="740"/>
      <c r="CK222" s="740"/>
      <c r="CL222" s="740"/>
      <c r="CM222" s="740"/>
      <c r="CN222" s="740"/>
      <c r="CO222" s="740"/>
      <c r="CP222" s="740"/>
      <c r="CQ222" s="740"/>
      <c r="CR222" s="740"/>
      <c r="CS222" s="740"/>
      <c r="CT222" s="740"/>
      <c r="CU222" s="740"/>
      <c r="CV222" s="740"/>
      <c r="CW222" s="740"/>
      <c r="CX222" s="740"/>
      <c r="CY222" s="740"/>
      <c r="CZ222" s="740"/>
      <c r="DA222" s="740"/>
      <c r="DB222" s="740"/>
      <c r="DC222" s="740"/>
      <c r="DD222" s="740"/>
      <c r="DE222" s="740"/>
      <c r="DF222" s="740"/>
      <c r="DG222" s="740"/>
      <c r="DH222" s="740"/>
      <c r="DI222" s="740"/>
      <c r="DJ222" s="740"/>
      <c r="DK222" s="740"/>
      <c r="DL222" s="740"/>
      <c r="DM222" s="740"/>
      <c r="DN222" s="740"/>
      <c r="DO222" s="740"/>
      <c r="DP222" s="740"/>
      <c r="DQ222" s="740"/>
      <c r="DR222" s="740"/>
      <c r="DS222" s="740"/>
      <c r="DT222" s="740"/>
      <c r="DU222" s="740"/>
      <c r="DV222" s="740"/>
      <c r="DW222" s="740"/>
      <c r="DX222" s="740"/>
      <c r="DY222" s="740"/>
      <c r="DZ222" s="740"/>
      <c r="EA222" s="740"/>
      <c r="EB222" s="740"/>
      <c r="EC222" s="740"/>
      <c r="ED222" s="740"/>
      <c r="EE222" s="740"/>
      <c r="EF222" s="740"/>
      <c r="EG222" s="740"/>
      <c r="EH222" s="740"/>
      <c r="EI222" s="740"/>
      <c r="EJ222" s="740"/>
      <c r="EK222" s="740"/>
      <c r="EL222" s="740"/>
      <c r="EM222" s="740"/>
      <c r="EN222" s="740"/>
      <c r="EO222" s="740"/>
      <c r="EP222" s="740"/>
      <c r="EQ222" s="740"/>
      <c r="ER222" s="740"/>
      <c r="ES222" s="740"/>
      <c r="ET222" s="740"/>
      <c r="EU222" s="740"/>
      <c r="EV222" s="740"/>
      <c r="EW222" s="740"/>
      <c r="EX222" s="740"/>
      <c r="EY222" s="740"/>
      <c r="EZ222" s="740"/>
      <c r="FA222" s="740"/>
      <c r="FB222" s="740"/>
      <c r="FC222" s="740"/>
      <c r="FD222" s="740"/>
      <c r="FE222" s="740"/>
      <c r="FF222" s="740"/>
      <c r="FG222" s="740"/>
      <c r="FH222" s="740"/>
      <c r="FI222" s="740"/>
      <c r="FJ222" s="740"/>
      <c r="FK222" s="740"/>
      <c r="FL222" s="740"/>
      <c r="FM222" s="740"/>
      <c r="FN222" s="740"/>
      <c r="FO222" s="740"/>
      <c r="FP222" s="740"/>
      <c r="FQ222" s="740"/>
      <c r="FR222" s="740"/>
      <c r="FS222" s="740"/>
      <c r="FT222" s="740"/>
      <c r="FU222" s="740"/>
      <c r="FV222" s="740"/>
      <c r="FW222" s="740"/>
      <c r="FX222" s="740"/>
      <c r="FY222" s="740"/>
      <c r="FZ222" s="740"/>
      <c r="GA222" s="740"/>
      <c r="GB222" s="740"/>
      <c r="GC222" s="740"/>
      <c r="GD222" s="740"/>
      <c r="GE222" s="740"/>
      <c r="GF222" s="740"/>
      <c r="GG222" s="740"/>
      <c r="GH222" s="740"/>
      <c r="GI222" s="740"/>
      <c r="GJ222" s="740"/>
      <c r="GK222" s="740"/>
      <c r="GL222" s="740"/>
      <c r="GM222" s="740"/>
      <c r="GN222" s="740"/>
      <c r="GO222" s="740"/>
      <c r="GP222" s="740"/>
      <c r="GQ222" s="740"/>
      <c r="GR222" s="740"/>
      <c r="GS222" s="740"/>
      <c r="GT222" s="740"/>
      <c r="GU222" s="740"/>
      <c r="GV222" s="740"/>
      <c r="GW222" s="740"/>
    </row>
    <row r="223" spans="18:205" ht="24" customHeight="1" x14ac:dyDescent="0.2">
      <c r="R223" s="740"/>
      <c r="S223" s="740"/>
      <c r="T223" s="740"/>
      <c r="U223" s="740"/>
      <c r="V223" s="740"/>
      <c r="W223" s="740"/>
      <c r="X223" s="740"/>
      <c r="Y223" s="740"/>
      <c r="Z223" s="740"/>
      <c r="AA223" s="740"/>
      <c r="AB223" s="740"/>
      <c r="AC223" s="740"/>
      <c r="AD223" s="740"/>
      <c r="AE223" s="740"/>
      <c r="AF223" s="740"/>
      <c r="AG223" s="740"/>
      <c r="AH223" s="740"/>
      <c r="AI223" s="740"/>
      <c r="AJ223" s="740"/>
      <c r="AK223" s="740"/>
      <c r="AL223" s="740"/>
      <c r="AM223" s="740"/>
      <c r="AN223" s="740"/>
      <c r="AO223" s="740"/>
      <c r="AP223" s="740"/>
      <c r="AQ223" s="740"/>
      <c r="AR223" s="740"/>
      <c r="AS223" s="740"/>
      <c r="AT223" s="740"/>
      <c r="AU223" s="740"/>
      <c r="AV223" s="740"/>
      <c r="AW223" s="740"/>
      <c r="AX223" s="740"/>
      <c r="AY223" s="740"/>
      <c r="AZ223" s="740"/>
      <c r="BA223" s="740"/>
      <c r="BB223" s="740"/>
      <c r="BC223" s="740"/>
      <c r="BD223" s="740"/>
      <c r="BE223" s="740"/>
      <c r="BF223" s="740"/>
      <c r="BG223" s="740"/>
      <c r="BH223" s="740"/>
      <c r="BI223" s="740"/>
      <c r="BJ223" s="740"/>
      <c r="BK223" s="740"/>
      <c r="BL223" s="740"/>
      <c r="BM223" s="740"/>
      <c r="BN223" s="740"/>
      <c r="BO223" s="740"/>
      <c r="BP223" s="740"/>
      <c r="BQ223" s="740"/>
      <c r="BR223" s="740"/>
      <c r="BS223" s="740"/>
      <c r="BT223" s="740"/>
      <c r="BU223" s="740"/>
      <c r="BV223" s="740"/>
      <c r="BW223" s="740"/>
      <c r="BX223" s="740"/>
      <c r="BY223" s="740"/>
      <c r="BZ223" s="740"/>
      <c r="CA223" s="740"/>
      <c r="CB223" s="740"/>
      <c r="CC223" s="740"/>
      <c r="CD223" s="740"/>
      <c r="CE223" s="740"/>
      <c r="CF223" s="740"/>
      <c r="CG223" s="740"/>
      <c r="CH223" s="740"/>
      <c r="CI223" s="740"/>
      <c r="CJ223" s="740"/>
      <c r="CK223" s="740"/>
      <c r="CL223" s="740"/>
      <c r="CM223" s="740"/>
      <c r="CN223" s="740"/>
      <c r="CO223" s="740"/>
      <c r="CP223" s="740"/>
      <c r="CQ223" s="740"/>
      <c r="CR223" s="740"/>
      <c r="CS223" s="740"/>
      <c r="CT223" s="740"/>
      <c r="CU223" s="740"/>
      <c r="CV223" s="740"/>
      <c r="CW223" s="740"/>
      <c r="CX223" s="740"/>
      <c r="CY223" s="740"/>
      <c r="CZ223" s="740"/>
      <c r="DA223" s="740"/>
      <c r="DB223" s="740"/>
      <c r="DC223" s="740"/>
      <c r="DD223" s="740"/>
      <c r="DE223" s="740"/>
      <c r="DF223" s="740"/>
      <c r="DG223" s="740"/>
      <c r="DH223" s="740"/>
      <c r="DI223" s="740"/>
      <c r="DJ223" s="740"/>
      <c r="DK223" s="740"/>
      <c r="DL223" s="740"/>
      <c r="DM223" s="740"/>
      <c r="DN223" s="740"/>
      <c r="DO223" s="740"/>
      <c r="DP223" s="740"/>
      <c r="DQ223" s="740"/>
      <c r="DR223" s="740"/>
      <c r="DS223" s="740"/>
      <c r="DT223" s="740"/>
      <c r="DU223" s="740"/>
      <c r="DV223" s="740"/>
      <c r="DW223" s="740"/>
      <c r="DX223" s="740"/>
      <c r="DY223" s="740"/>
      <c r="DZ223" s="740"/>
      <c r="EA223" s="740"/>
      <c r="EB223" s="740"/>
      <c r="EC223" s="740"/>
      <c r="ED223" s="740"/>
      <c r="EE223" s="740"/>
      <c r="EF223" s="740"/>
      <c r="EG223" s="740"/>
      <c r="EH223" s="740"/>
      <c r="EI223" s="740"/>
      <c r="EJ223" s="740"/>
      <c r="EK223" s="740"/>
      <c r="EL223" s="740"/>
      <c r="EM223" s="740"/>
      <c r="EN223" s="740"/>
      <c r="EO223" s="740"/>
      <c r="EP223" s="740"/>
      <c r="EQ223" s="740"/>
      <c r="ER223" s="740"/>
      <c r="ES223" s="740"/>
      <c r="ET223" s="740"/>
      <c r="EU223" s="740"/>
      <c r="EV223" s="740"/>
      <c r="EW223" s="740"/>
      <c r="EX223" s="740"/>
      <c r="EY223" s="740"/>
      <c r="EZ223" s="740"/>
      <c r="FA223" s="740"/>
      <c r="FB223" s="740"/>
      <c r="FC223" s="740"/>
      <c r="FD223" s="740"/>
      <c r="FE223" s="740"/>
      <c r="FF223" s="740"/>
      <c r="FG223" s="740"/>
      <c r="FH223" s="740"/>
      <c r="FI223" s="740"/>
      <c r="FJ223" s="740"/>
      <c r="FK223" s="740"/>
      <c r="FL223" s="740"/>
      <c r="FM223" s="740"/>
      <c r="FN223" s="740"/>
      <c r="FO223" s="740"/>
      <c r="FP223" s="740"/>
      <c r="FQ223" s="740"/>
      <c r="FR223" s="740"/>
      <c r="FS223" s="740"/>
      <c r="FT223" s="740"/>
      <c r="FU223" s="740"/>
      <c r="FV223" s="740"/>
      <c r="FW223" s="740"/>
      <c r="FX223" s="740"/>
      <c r="FY223" s="740"/>
      <c r="FZ223" s="740"/>
      <c r="GA223" s="740"/>
      <c r="GB223" s="740"/>
      <c r="GC223" s="740"/>
      <c r="GD223" s="740"/>
      <c r="GE223" s="740"/>
      <c r="GF223" s="740"/>
      <c r="GG223" s="740"/>
      <c r="GH223" s="740"/>
      <c r="GI223" s="740"/>
      <c r="GJ223" s="740"/>
      <c r="GK223" s="740"/>
      <c r="GL223" s="740"/>
      <c r="GM223" s="740"/>
      <c r="GN223" s="740"/>
      <c r="GO223" s="740"/>
      <c r="GP223" s="740"/>
      <c r="GQ223" s="740"/>
      <c r="GR223" s="740"/>
      <c r="GS223" s="740"/>
      <c r="GT223" s="740"/>
      <c r="GU223" s="740"/>
      <c r="GV223" s="740"/>
      <c r="GW223" s="740"/>
    </row>
    <row r="224" spans="18:205" ht="24" customHeight="1" x14ac:dyDescent="0.2">
      <c r="R224" s="740"/>
      <c r="S224" s="740"/>
      <c r="T224" s="740"/>
      <c r="U224" s="740"/>
      <c r="V224" s="740"/>
      <c r="W224" s="740"/>
      <c r="X224" s="740"/>
      <c r="Y224" s="740"/>
      <c r="Z224" s="740"/>
      <c r="AA224" s="740"/>
      <c r="AB224" s="740"/>
      <c r="AC224" s="740"/>
      <c r="AD224" s="740"/>
      <c r="AE224" s="740"/>
      <c r="AF224" s="740"/>
      <c r="AG224" s="740"/>
      <c r="AH224" s="740"/>
      <c r="AI224" s="740"/>
      <c r="AJ224" s="740"/>
      <c r="AK224" s="740"/>
      <c r="AL224" s="740"/>
      <c r="AM224" s="740"/>
      <c r="AN224" s="740"/>
      <c r="AO224" s="740"/>
      <c r="AP224" s="740"/>
      <c r="AQ224" s="740"/>
      <c r="AR224" s="740"/>
      <c r="AS224" s="740"/>
      <c r="AT224" s="740"/>
      <c r="AU224" s="740"/>
      <c r="AV224" s="740"/>
      <c r="AW224" s="740"/>
      <c r="AX224" s="740"/>
      <c r="AY224" s="740"/>
      <c r="AZ224" s="740"/>
      <c r="BA224" s="740"/>
      <c r="BB224" s="740"/>
      <c r="BC224" s="740"/>
      <c r="BD224" s="740"/>
      <c r="BE224" s="740"/>
      <c r="BF224" s="740"/>
      <c r="BG224" s="740"/>
      <c r="BH224" s="740"/>
      <c r="BI224" s="740"/>
      <c r="BJ224" s="740"/>
      <c r="BK224" s="740"/>
      <c r="BL224" s="740"/>
      <c r="BM224" s="740"/>
      <c r="BN224" s="740"/>
      <c r="BO224" s="740"/>
      <c r="BP224" s="740"/>
      <c r="BQ224" s="740"/>
      <c r="BR224" s="740"/>
      <c r="BS224" s="740"/>
      <c r="BT224" s="740"/>
      <c r="BU224" s="740"/>
      <c r="BV224" s="740"/>
      <c r="BW224" s="740"/>
      <c r="BX224" s="740"/>
      <c r="BY224" s="740"/>
      <c r="BZ224" s="740"/>
      <c r="CA224" s="740"/>
      <c r="CB224" s="740"/>
      <c r="CC224" s="740"/>
      <c r="CD224" s="740"/>
      <c r="CE224" s="740"/>
      <c r="CF224" s="740"/>
      <c r="CG224" s="740"/>
      <c r="CH224" s="740"/>
      <c r="CI224" s="740"/>
      <c r="CJ224" s="740"/>
      <c r="CK224" s="740"/>
      <c r="CL224" s="740"/>
      <c r="CM224" s="740"/>
      <c r="CN224" s="740"/>
      <c r="CO224" s="740"/>
      <c r="CP224" s="740"/>
      <c r="CQ224" s="740"/>
      <c r="CR224" s="740"/>
      <c r="CS224" s="740"/>
      <c r="CT224" s="740"/>
      <c r="CU224" s="740"/>
      <c r="CV224" s="740"/>
      <c r="CW224" s="740"/>
      <c r="CX224" s="740"/>
      <c r="CY224" s="740"/>
      <c r="CZ224" s="740"/>
      <c r="DA224" s="740"/>
      <c r="DB224" s="740"/>
      <c r="DC224" s="740"/>
      <c r="DD224" s="740"/>
      <c r="DE224" s="740"/>
      <c r="DF224" s="740"/>
      <c r="DG224" s="740"/>
      <c r="DH224" s="740"/>
      <c r="DI224" s="740"/>
      <c r="DJ224" s="740"/>
      <c r="DK224" s="740"/>
      <c r="DL224" s="740"/>
      <c r="DM224" s="740"/>
      <c r="DN224" s="740"/>
      <c r="DO224" s="740"/>
      <c r="DP224" s="740"/>
      <c r="DQ224" s="740"/>
      <c r="DR224" s="740"/>
      <c r="DS224" s="740"/>
      <c r="DT224" s="740"/>
      <c r="DU224" s="740"/>
      <c r="DV224" s="740"/>
      <c r="DW224" s="740"/>
      <c r="DX224" s="740"/>
      <c r="DY224" s="740"/>
      <c r="DZ224" s="740"/>
      <c r="EA224" s="740"/>
      <c r="EB224" s="740"/>
      <c r="EC224" s="740"/>
      <c r="ED224" s="740"/>
      <c r="EE224" s="740"/>
      <c r="EF224" s="740"/>
      <c r="EG224" s="740"/>
      <c r="EH224" s="740"/>
      <c r="EI224" s="740"/>
      <c r="EJ224" s="740"/>
      <c r="EK224" s="740"/>
      <c r="EL224" s="740"/>
      <c r="EM224" s="740"/>
      <c r="EN224" s="740"/>
      <c r="EO224" s="740"/>
      <c r="EP224" s="740"/>
      <c r="EQ224" s="740"/>
      <c r="ER224" s="740"/>
      <c r="ES224" s="740"/>
      <c r="ET224" s="740"/>
      <c r="EU224" s="740"/>
      <c r="EV224" s="740"/>
      <c r="EW224" s="740"/>
      <c r="EX224" s="740"/>
      <c r="EY224" s="740"/>
      <c r="EZ224" s="740"/>
      <c r="FA224" s="740"/>
      <c r="FB224" s="740"/>
      <c r="FC224" s="740"/>
      <c r="FD224" s="740"/>
      <c r="FE224" s="740"/>
      <c r="FF224" s="740"/>
      <c r="FG224" s="740"/>
      <c r="FH224" s="740"/>
      <c r="FI224" s="740"/>
      <c r="FJ224" s="740"/>
      <c r="FK224" s="740"/>
      <c r="FL224" s="740"/>
      <c r="FM224" s="740"/>
      <c r="FN224" s="740"/>
      <c r="FO224" s="740"/>
      <c r="FP224" s="740"/>
      <c r="FQ224" s="740"/>
      <c r="FR224" s="740"/>
      <c r="FS224" s="740"/>
      <c r="FT224" s="740"/>
      <c r="FU224" s="740"/>
      <c r="FV224" s="740"/>
      <c r="FW224" s="740"/>
      <c r="FX224" s="740"/>
      <c r="FY224" s="740"/>
      <c r="FZ224" s="740"/>
      <c r="GA224" s="740"/>
      <c r="GB224" s="740"/>
      <c r="GC224" s="740"/>
      <c r="GD224" s="740"/>
      <c r="GE224" s="740"/>
      <c r="GF224" s="740"/>
      <c r="GG224" s="740"/>
      <c r="GH224" s="740"/>
      <c r="GI224" s="740"/>
      <c r="GJ224" s="740"/>
      <c r="GK224" s="740"/>
      <c r="GL224" s="740"/>
      <c r="GM224" s="740"/>
      <c r="GN224" s="740"/>
      <c r="GO224" s="740"/>
      <c r="GP224" s="740"/>
      <c r="GQ224" s="740"/>
      <c r="GR224" s="740"/>
      <c r="GS224" s="740"/>
      <c r="GT224" s="740"/>
      <c r="GU224" s="740"/>
      <c r="GV224" s="740"/>
      <c r="GW224" s="740"/>
    </row>
    <row r="225" spans="18:205" ht="24" customHeight="1" x14ac:dyDescent="0.2">
      <c r="R225" s="740"/>
      <c r="S225" s="740"/>
      <c r="T225" s="740"/>
      <c r="U225" s="740"/>
      <c r="V225" s="740"/>
      <c r="W225" s="740"/>
      <c r="X225" s="740"/>
      <c r="Y225" s="740"/>
      <c r="Z225" s="740"/>
      <c r="AA225" s="740"/>
      <c r="AB225" s="740"/>
      <c r="AC225" s="740"/>
      <c r="AD225" s="740"/>
      <c r="AE225" s="740"/>
      <c r="AF225" s="740"/>
      <c r="AG225" s="740"/>
      <c r="AH225" s="740"/>
      <c r="AI225" s="740"/>
      <c r="AJ225" s="740"/>
      <c r="AK225" s="740"/>
      <c r="AL225" s="740"/>
      <c r="AM225" s="740"/>
      <c r="AN225" s="740"/>
      <c r="AO225" s="740"/>
      <c r="AP225" s="740"/>
      <c r="AQ225" s="740"/>
      <c r="AR225" s="740"/>
      <c r="AS225" s="740"/>
      <c r="AT225" s="740"/>
      <c r="AU225" s="740"/>
      <c r="AV225" s="740"/>
      <c r="AW225" s="740"/>
      <c r="AX225" s="740"/>
      <c r="AY225" s="740"/>
      <c r="AZ225" s="740"/>
      <c r="BA225" s="740"/>
      <c r="BB225" s="740"/>
      <c r="BC225" s="740"/>
      <c r="BD225" s="740"/>
      <c r="BE225" s="740"/>
      <c r="BF225" s="740"/>
      <c r="BG225" s="740"/>
      <c r="BH225" s="740"/>
      <c r="BI225" s="740"/>
      <c r="BJ225" s="740"/>
      <c r="BK225" s="740"/>
      <c r="BL225" s="740"/>
      <c r="BM225" s="740"/>
      <c r="BN225" s="740"/>
      <c r="BO225" s="740"/>
      <c r="BP225" s="740"/>
      <c r="BQ225" s="740"/>
      <c r="BR225" s="740"/>
      <c r="BS225" s="740"/>
      <c r="BT225" s="740"/>
      <c r="BU225" s="740"/>
      <c r="BV225" s="740"/>
      <c r="BW225" s="740"/>
      <c r="BX225" s="740"/>
      <c r="BY225" s="740"/>
      <c r="BZ225" s="740"/>
      <c r="CA225" s="740"/>
      <c r="CB225" s="740"/>
      <c r="CC225" s="740"/>
      <c r="CD225" s="740"/>
      <c r="CE225" s="740"/>
      <c r="CF225" s="740"/>
      <c r="CG225" s="740"/>
      <c r="CH225" s="740"/>
      <c r="CI225" s="740"/>
      <c r="CJ225" s="740"/>
      <c r="CK225" s="740"/>
      <c r="CL225" s="740"/>
      <c r="CM225" s="740"/>
      <c r="CN225" s="740"/>
      <c r="CO225" s="740"/>
      <c r="CP225" s="740"/>
      <c r="CQ225" s="740"/>
      <c r="CR225" s="740"/>
      <c r="CS225" s="740"/>
      <c r="CT225" s="740"/>
      <c r="CU225" s="740"/>
      <c r="CV225" s="740"/>
      <c r="CW225" s="740"/>
      <c r="CX225" s="740"/>
      <c r="CY225" s="740"/>
      <c r="CZ225" s="740"/>
      <c r="DA225" s="740"/>
      <c r="DB225" s="740"/>
      <c r="DC225" s="740"/>
      <c r="DD225" s="740"/>
      <c r="DE225" s="740"/>
      <c r="DF225" s="740"/>
      <c r="DG225" s="740"/>
      <c r="DH225" s="740"/>
      <c r="DI225" s="740"/>
      <c r="DJ225" s="740"/>
      <c r="DK225" s="740"/>
      <c r="DL225" s="740"/>
      <c r="DM225" s="740"/>
      <c r="DN225" s="740"/>
      <c r="DO225" s="740"/>
      <c r="DP225" s="740"/>
      <c r="DQ225" s="740"/>
      <c r="DR225" s="740"/>
      <c r="DS225" s="740"/>
      <c r="DT225" s="740"/>
      <c r="DU225" s="740"/>
      <c r="DV225" s="740"/>
      <c r="DW225" s="740"/>
      <c r="DX225" s="740"/>
      <c r="DY225" s="740"/>
      <c r="DZ225" s="740"/>
      <c r="EA225" s="740"/>
      <c r="EB225" s="740"/>
      <c r="EC225" s="740"/>
      <c r="ED225" s="740"/>
      <c r="EE225" s="740"/>
      <c r="EF225" s="740"/>
      <c r="EG225" s="740"/>
      <c r="EH225" s="740"/>
      <c r="EI225" s="740"/>
      <c r="EJ225" s="740"/>
      <c r="EK225" s="740"/>
      <c r="EL225" s="740"/>
      <c r="EM225" s="740"/>
      <c r="EN225" s="740"/>
      <c r="EO225" s="740"/>
      <c r="EP225" s="740"/>
      <c r="EQ225" s="740"/>
      <c r="ER225" s="740"/>
      <c r="ES225" s="740"/>
      <c r="ET225" s="740"/>
      <c r="EU225" s="740"/>
      <c r="EV225" s="740"/>
      <c r="EW225" s="740"/>
      <c r="EX225" s="740"/>
      <c r="EY225" s="740"/>
      <c r="EZ225" s="740"/>
      <c r="FA225" s="740"/>
      <c r="FB225" s="740"/>
      <c r="FC225" s="740"/>
      <c r="FD225" s="740"/>
      <c r="FE225" s="740"/>
      <c r="FF225" s="740"/>
      <c r="FG225" s="740"/>
      <c r="FH225" s="740"/>
      <c r="FI225" s="740"/>
      <c r="FJ225" s="740"/>
      <c r="FK225" s="740"/>
      <c r="FL225" s="740"/>
      <c r="FM225" s="740"/>
      <c r="FN225" s="740"/>
      <c r="FO225" s="740"/>
      <c r="FP225" s="740"/>
      <c r="FQ225" s="740"/>
      <c r="FR225" s="740"/>
      <c r="FS225" s="740"/>
      <c r="FT225" s="740"/>
      <c r="FU225" s="740"/>
      <c r="FV225" s="740"/>
      <c r="FW225" s="740"/>
      <c r="FX225" s="740"/>
      <c r="FY225" s="740"/>
      <c r="FZ225" s="740"/>
      <c r="GA225" s="740"/>
      <c r="GB225" s="740"/>
      <c r="GC225" s="740"/>
      <c r="GD225" s="740"/>
      <c r="GE225" s="740"/>
      <c r="GF225" s="740"/>
      <c r="GG225" s="740"/>
      <c r="GH225" s="740"/>
      <c r="GI225" s="740"/>
      <c r="GJ225" s="740"/>
      <c r="GK225" s="740"/>
      <c r="GL225" s="740"/>
      <c r="GM225" s="740"/>
      <c r="GN225" s="740"/>
      <c r="GO225" s="740"/>
      <c r="GP225" s="740"/>
      <c r="GQ225" s="740"/>
      <c r="GR225" s="740"/>
      <c r="GS225" s="740"/>
      <c r="GT225" s="740"/>
      <c r="GU225" s="740"/>
      <c r="GV225" s="740"/>
      <c r="GW225" s="740"/>
    </row>
    <row r="226" spans="18:205" ht="24" customHeight="1" x14ac:dyDescent="0.2">
      <c r="R226" s="740"/>
      <c r="S226" s="740"/>
      <c r="T226" s="740"/>
      <c r="U226" s="740"/>
      <c r="V226" s="740"/>
      <c r="W226" s="740"/>
      <c r="X226" s="740"/>
      <c r="Y226" s="740"/>
      <c r="Z226" s="740"/>
      <c r="AA226" s="740"/>
      <c r="AB226" s="740"/>
      <c r="AC226" s="740"/>
      <c r="AD226" s="740"/>
      <c r="AE226" s="740"/>
      <c r="AF226" s="740"/>
      <c r="AG226" s="740"/>
      <c r="AH226" s="740"/>
      <c r="AI226" s="740"/>
      <c r="AJ226" s="740"/>
      <c r="AK226" s="740"/>
      <c r="AL226" s="740"/>
      <c r="AM226" s="740"/>
      <c r="AN226" s="740"/>
      <c r="AO226" s="740"/>
      <c r="AP226" s="740"/>
      <c r="AQ226" s="740"/>
      <c r="AR226" s="740"/>
      <c r="AS226" s="740"/>
      <c r="AT226" s="740"/>
      <c r="AU226" s="740"/>
      <c r="AV226" s="740"/>
      <c r="AW226" s="740"/>
      <c r="AX226" s="740"/>
      <c r="AY226" s="740"/>
      <c r="AZ226" s="740"/>
      <c r="BA226" s="740"/>
      <c r="BB226" s="740"/>
      <c r="BC226" s="740"/>
      <c r="BD226" s="740"/>
      <c r="BE226" s="740"/>
      <c r="BF226" s="740"/>
      <c r="BG226" s="740"/>
      <c r="BH226" s="740"/>
      <c r="BI226" s="740"/>
      <c r="BJ226" s="740"/>
      <c r="BK226" s="740"/>
      <c r="BL226" s="740"/>
      <c r="BM226" s="740"/>
      <c r="BN226" s="740"/>
      <c r="BO226" s="740"/>
      <c r="BP226" s="740"/>
      <c r="BQ226" s="740"/>
      <c r="BR226" s="740"/>
      <c r="BS226" s="740"/>
      <c r="BT226" s="740"/>
      <c r="BU226" s="740"/>
      <c r="BV226" s="740"/>
      <c r="BW226" s="740"/>
      <c r="BX226" s="740"/>
      <c r="BY226" s="740"/>
      <c r="BZ226" s="740"/>
      <c r="CA226" s="740"/>
      <c r="CB226" s="740"/>
      <c r="CC226" s="740"/>
      <c r="CD226" s="740"/>
      <c r="CE226" s="740"/>
      <c r="CF226" s="740"/>
      <c r="CG226" s="740"/>
      <c r="CH226" s="740"/>
      <c r="CI226" s="740"/>
      <c r="CJ226" s="740"/>
      <c r="CK226" s="740"/>
      <c r="CL226" s="740"/>
      <c r="CM226" s="740"/>
      <c r="CN226" s="740"/>
      <c r="CO226" s="740"/>
      <c r="CP226" s="740"/>
      <c r="CQ226" s="740"/>
      <c r="CR226" s="740"/>
      <c r="CS226" s="740"/>
      <c r="CT226" s="740"/>
      <c r="CU226" s="740"/>
      <c r="CV226" s="740"/>
      <c r="CW226" s="740"/>
      <c r="CX226" s="740"/>
      <c r="CY226" s="740"/>
      <c r="CZ226" s="740"/>
      <c r="DA226" s="740"/>
      <c r="DB226" s="740"/>
      <c r="DC226" s="740"/>
      <c r="DD226" s="740"/>
      <c r="DE226" s="740"/>
      <c r="DF226" s="740"/>
      <c r="DG226" s="740"/>
      <c r="DH226" s="740"/>
      <c r="DI226" s="740"/>
      <c r="DJ226" s="740"/>
      <c r="DK226" s="740"/>
      <c r="DL226" s="740"/>
      <c r="DM226" s="740"/>
      <c r="DN226" s="740"/>
      <c r="DO226" s="740"/>
      <c r="DP226" s="740"/>
      <c r="DQ226" s="740"/>
      <c r="DR226" s="740"/>
      <c r="DS226" s="740"/>
      <c r="DT226" s="740"/>
      <c r="DU226" s="740"/>
      <c r="DV226" s="740"/>
      <c r="DW226" s="740"/>
      <c r="DX226" s="740"/>
      <c r="DY226" s="740"/>
      <c r="DZ226" s="740"/>
      <c r="EA226" s="740"/>
      <c r="EB226" s="740"/>
      <c r="EC226" s="740"/>
      <c r="ED226" s="740"/>
      <c r="EE226" s="740"/>
      <c r="EF226" s="740"/>
      <c r="EG226" s="740"/>
      <c r="EH226" s="740"/>
      <c r="EI226" s="740"/>
      <c r="EJ226" s="740"/>
      <c r="EK226" s="740"/>
      <c r="EL226" s="740"/>
      <c r="EM226" s="740"/>
      <c r="EN226" s="740"/>
      <c r="EO226" s="740"/>
      <c r="EP226" s="740"/>
      <c r="EQ226" s="740"/>
      <c r="ER226" s="740"/>
      <c r="ES226" s="740"/>
      <c r="ET226" s="740"/>
      <c r="EU226" s="740"/>
      <c r="EV226" s="740"/>
      <c r="EW226" s="740"/>
      <c r="EX226" s="740"/>
      <c r="EY226" s="740"/>
      <c r="EZ226" s="740"/>
      <c r="FA226" s="740"/>
      <c r="FB226" s="740"/>
      <c r="FC226" s="740"/>
      <c r="FD226" s="740"/>
      <c r="FE226" s="740"/>
      <c r="FF226" s="740"/>
      <c r="FG226" s="740"/>
      <c r="FH226" s="740"/>
      <c r="FI226" s="740"/>
      <c r="FJ226" s="740"/>
      <c r="FK226" s="740"/>
      <c r="FL226" s="740"/>
      <c r="FM226" s="740"/>
      <c r="FN226" s="740"/>
      <c r="FO226" s="740"/>
      <c r="FP226" s="740"/>
      <c r="FQ226" s="740"/>
      <c r="FR226" s="740"/>
      <c r="FS226" s="740"/>
      <c r="FT226" s="740"/>
      <c r="FU226" s="740"/>
      <c r="FV226" s="740"/>
      <c r="FW226" s="740"/>
      <c r="FX226" s="740"/>
      <c r="FY226" s="740"/>
      <c r="FZ226" s="740"/>
      <c r="GA226" s="740"/>
      <c r="GB226" s="740"/>
      <c r="GC226" s="740"/>
      <c r="GD226" s="740"/>
      <c r="GE226" s="740"/>
      <c r="GF226" s="740"/>
      <c r="GG226" s="740"/>
      <c r="GH226" s="740"/>
      <c r="GI226" s="740"/>
      <c r="GJ226" s="740"/>
      <c r="GK226" s="740"/>
      <c r="GL226" s="740"/>
      <c r="GM226" s="740"/>
      <c r="GN226" s="740"/>
      <c r="GO226" s="740"/>
      <c r="GP226" s="740"/>
      <c r="GQ226" s="740"/>
      <c r="GR226" s="740"/>
      <c r="GS226" s="740"/>
      <c r="GT226" s="740"/>
      <c r="GU226" s="740"/>
      <c r="GV226" s="740"/>
      <c r="GW226" s="740"/>
    </row>
    <row r="227" spans="18:205" ht="24" customHeight="1" x14ac:dyDescent="0.2">
      <c r="R227" s="740"/>
      <c r="S227" s="740"/>
      <c r="T227" s="740"/>
      <c r="U227" s="740"/>
      <c r="V227" s="740"/>
      <c r="W227" s="740"/>
      <c r="X227" s="740"/>
      <c r="Y227" s="740"/>
      <c r="Z227" s="740"/>
      <c r="AA227" s="740"/>
      <c r="AB227" s="740"/>
      <c r="AC227" s="740"/>
      <c r="AD227" s="740"/>
      <c r="AE227" s="740"/>
      <c r="AF227" s="740"/>
      <c r="AG227" s="740"/>
      <c r="AH227" s="740"/>
      <c r="AI227" s="740"/>
      <c r="AJ227" s="740"/>
      <c r="AK227" s="740"/>
      <c r="AL227" s="740"/>
      <c r="AM227" s="740"/>
      <c r="AN227" s="740"/>
      <c r="AO227" s="740"/>
      <c r="AP227" s="740"/>
      <c r="AQ227" s="740"/>
      <c r="AR227" s="740"/>
      <c r="AS227" s="740"/>
      <c r="AT227" s="740"/>
      <c r="AU227" s="740"/>
      <c r="AV227" s="740"/>
      <c r="AW227" s="740"/>
      <c r="AX227" s="740"/>
      <c r="AY227" s="740"/>
      <c r="AZ227" s="740"/>
      <c r="BA227" s="740"/>
      <c r="BB227" s="740"/>
      <c r="BC227" s="740"/>
      <c r="BD227" s="740"/>
      <c r="BE227" s="740"/>
      <c r="BF227" s="740"/>
      <c r="BG227" s="740"/>
      <c r="BH227" s="740"/>
      <c r="BI227" s="740"/>
      <c r="BJ227" s="740"/>
      <c r="BK227" s="740"/>
      <c r="BL227" s="740"/>
      <c r="BM227" s="740"/>
      <c r="BN227" s="740"/>
      <c r="BO227" s="740"/>
      <c r="BP227" s="740"/>
      <c r="BQ227" s="740"/>
      <c r="BR227" s="740"/>
      <c r="BS227" s="740"/>
      <c r="BT227" s="740"/>
      <c r="BU227" s="740"/>
      <c r="BV227" s="740"/>
      <c r="BW227" s="740"/>
      <c r="BX227" s="740"/>
      <c r="BY227" s="740"/>
      <c r="BZ227" s="740"/>
      <c r="CA227" s="740"/>
      <c r="CB227" s="740"/>
      <c r="CC227" s="740"/>
      <c r="CD227" s="740"/>
      <c r="CE227" s="740"/>
      <c r="CF227" s="740"/>
      <c r="CG227" s="740"/>
      <c r="CH227" s="740"/>
      <c r="CI227" s="740"/>
      <c r="CJ227" s="740"/>
      <c r="CK227" s="740"/>
      <c r="CL227" s="740"/>
      <c r="CM227" s="740"/>
      <c r="CN227" s="740"/>
      <c r="CO227" s="740"/>
      <c r="CP227" s="740"/>
      <c r="CQ227" s="740"/>
      <c r="CR227" s="740"/>
      <c r="CS227" s="740"/>
      <c r="CT227" s="740"/>
      <c r="CU227" s="740"/>
      <c r="CV227" s="740"/>
      <c r="CW227" s="740"/>
      <c r="CX227" s="740"/>
      <c r="CY227" s="740"/>
      <c r="CZ227" s="740"/>
      <c r="DA227" s="740"/>
      <c r="DB227" s="740"/>
      <c r="DC227" s="740"/>
      <c r="DD227" s="740"/>
      <c r="DE227" s="740"/>
      <c r="DF227" s="740"/>
      <c r="DG227" s="740"/>
      <c r="DH227" s="740"/>
      <c r="DI227" s="740"/>
      <c r="DJ227" s="740"/>
      <c r="DK227" s="740"/>
      <c r="DL227" s="740"/>
      <c r="DM227" s="740"/>
      <c r="DN227" s="740"/>
      <c r="DO227" s="740"/>
      <c r="DP227" s="740"/>
      <c r="DQ227" s="740"/>
      <c r="DR227" s="740"/>
      <c r="DS227" s="740"/>
      <c r="DT227" s="740"/>
      <c r="DU227" s="740"/>
      <c r="DV227" s="740"/>
      <c r="DW227" s="740"/>
      <c r="DX227" s="740"/>
      <c r="DY227" s="740"/>
      <c r="DZ227" s="740"/>
      <c r="EA227" s="740"/>
      <c r="EB227" s="740"/>
      <c r="EC227" s="740"/>
      <c r="ED227" s="740"/>
      <c r="EE227" s="740"/>
      <c r="EF227" s="740"/>
      <c r="EG227" s="740"/>
      <c r="EH227" s="740"/>
      <c r="EI227" s="740"/>
      <c r="EJ227" s="740"/>
      <c r="EK227" s="740"/>
      <c r="EL227" s="740"/>
      <c r="EM227" s="740"/>
      <c r="EN227" s="740"/>
      <c r="EO227" s="740"/>
      <c r="EP227" s="740"/>
      <c r="EQ227" s="740"/>
      <c r="ER227" s="740"/>
      <c r="ES227" s="740"/>
      <c r="ET227" s="740"/>
      <c r="EU227" s="740"/>
      <c r="EV227" s="740"/>
      <c r="EW227" s="740"/>
      <c r="EX227" s="740"/>
      <c r="EY227" s="740"/>
      <c r="EZ227" s="740"/>
      <c r="FA227" s="740"/>
      <c r="FB227" s="740"/>
      <c r="FC227" s="740"/>
      <c r="FD227" s="740"/>
      <c r="FE227" s="740"/>
      <c r="FF227" s="740"/>
      <c r="FG227" s="740"/>
      <c r="FH227" s="740"/>
      <c r="FI227" s="740"/>
      <c r="FJ227" s="740"/>
      <c r="FK227" s="740"/>
      <c r="FL227" s="740"/>
      <c r="FM227" s="740"/>
      <c r="FN227" s="740"/>
      <c r="FO227" s="740"/>
      <c r="FP227" s="740"/>
      <c r="FQ227" s="740"/>
      <c r="FR227" s="740"/>
      <c r="FS227" s="740"/>
      <c r="FT227" s="740"/>
      <c r="FU227" s="740"/>
      <c r="FV227" s="740"/>
      <c r="FW227" s="740"/>
      <c r="FX227" s="740"/>
      <c r="FY227" s="740"/>
      <c r="FZ227" s="740"/>
      <c r="GA227" s="740"/>
      <c r="GB227" s="740"/>
      <c r="GC227" s="740"/>
      <c r="GD227" s="740"/>
      <c r="GE227" s="740"/>
      <c r="GF227" s="740"/>
      <c r="GG227" s="740"/>
      <c r="GH227" s="740"/>
      <c r="GI227" s="740"/>
      <c r="GJ227" s="740"/>
      <c r="GK227" s="740"/>
      <c r="GL227" s="740"/>
      <c r="GM227" s="740"/>
      <c r="GN227" s="740"/>
      <c r="GO227" s="740"/>
      <c r="GP227" s="740"/>
      <c r="GQ227" s="740"/>
      <c r="GR227" s="740"/>
      <c r="GS227" s="740"/>
      <c r="GT227" s="740"/>
      <c r="GU227" s="740"/>
      <c r="GV227" s="740"/>
      <c r="GW227" s="740"/>
    </row>
    <row r="228" spans="18:205" ht="24" customHeight="1" x14ac:dyDescent="0.2">
      <c r="R228" s="740"/>
      <c r="S228" s="740"/>
      <c r="T228" s="740"/>
      <c r="U228" s="740"/>
      <c r="V228" s="740"/>
      <c r="W228" s="740"/>
      <c r="X228" s="740"/>
      <c r="Y228" s="740"/>
      <c r="Z228" s="740"/>
      <c r="AA228" s="740"/>
      <c r="AB228" s="740"/>
      <c r="AC228" s="740"/>
      <c r="AD228" s="740"/>
      <c r="AE228" s="740"/>
      <c r="AF228" s="740"/>
      <c r="AG228" s="740"/>
      <c r="AH228" s="740"/>
      <c r="AI228" s="740"/>
      <c r="AJ228" s="740"/>
      <c r="AK228" s="740"/>
      <c r="AL228" s="740"/>
      <c r="AM228" s="740"/>
      <c r="AN228" s="740"/>
      <c r="AO228" s="740"/>
      <c r="AP228" s="740"/>
      <c r="AQ228" s="740"/>
      <c r="AR228" s="740"/>
      <c r="AS228" s="740"/>
      <c r="AT228" s="740"/>
      <c r="AU228" s="740"/>
      <c r="AV228" s="740"/>
      <c r="AW228" s="740"/>
      <c r="AX228" s="740"/>
      <c r="AY228" s="740"/>
      <c r="AZ228" s="740"/>
      <c r="BA228" s="740"/>
      <c r="BB228" s="740"/>
      <c r="BC228" s="740"/>
      <c r="BD228" s="740"/>
      <c r="BE228" s="740"/>
      <c r="BF228" s="740"/>
      <c r="BG228" s="740"/>
      <c r="BH228" s="740"/>
      <c r="BI228" s="740"/>
      <c r="BJ228" s="740"/>
      <c r="BK228" s="740"/>
      <c r="BL228" s="740"/>
      <c r="BM228" s="740"/>
      <c r="BN228" s="740"/>
      <c r="BO228" s="740"/>
      <c r="BP228" s="740"/>
      <c r="BQ228" s="740"/>
      <c r="BR228" s="740"/>
      <c r="BS228" s="740"/>
      <c r="BT228" s="740"/>
      <c r="BU228" s="740"/>
      <c r="BV228" s="740"/>
      <c r="BW228" s="740"/>
      <c r="BX228" s="740"/>
      <c r="BY228" s="740"/>
      <c r="BZ228" s="740"/>
      <c r="CA228" s="740"/>
      <c r="CB228" s="740"/>
      <c r="CC228" s="740"/>
      <c r="CD228" s="740"/>
      <c r="CE228" s="740"/>
      <c r="CF228" s="740"/>
      <c r="CG228" s="740"/>
      <c r="CH228" s="740"/>
      <c r="CI228" s="740"/>
      <c r="CJ228" s="740"/>
      <c r="CK228" s="740"/>
      <c r="CL228" s="740"/>
      <c r="CM228" s="740"/>
      <c r="CN228" s="740"/>
      <c r="CO228" s="740"/>
      <c r="CP228" s="740"/>
      <c r="CQ228" s="740"/>
      <c r="CR228" s="740"/>
      <c r="CS228" s="740"/>
      <c r="CT228" s="740"/>
      <c r="CU228" s="740"/>
      <c r="CV228" s="740"/>
      <c r="CW228" s="740"/>
      <c r="CX228" s="740"/>
      <c r="CY228" s="740"/>
      <c r="CZ228" s="740"/>
      <c r="DA228" s="740"/>
      <c r="DB228" s="740"/>
      <c r="DC228" s="740"/>
      <c r="DD228" s="740"/>
      <c r="DE228" s="740"/>
      <c r="DF228" s="740"/>
      <c r="DG228" s="740"/>
      <c r="DH228" s="740"/>
      <c r="DI228" s="740"/>
      <c r="DJ228" s="740"/>
      <c r="DK228" s="740"/>
      <c r="DL228" s="740"/>
      <c r="DM228" s="740"/>
      <c r="DN228" s="740"/>
      <c r="DO228" s="740"/>
      <c r="DP228" s="740"/>
      <c r="DQ228" s="740"/>
      <c r="DR228" s="740"/>
      <c r="DS228" s="740"/>
      <c r="DT228" s="740"/>
      <c r="DU228" s="740"/>
      <c r="DV228" s="740"/>
      <c r="DW228" s="740"/>
      <c r="DX228" s="740"/>
      <c r="DY228" s="740"/>
      <c r="DZ228" s="740"/>
      <c r="EA228" s="740"/>
      <c r="EB228" s="740"/>
      <c r="EC228" s="740"/>
      <c r="ED228" s="740"/>
      <c r="EE228" s="740"/>
      <c r="EF228" s="740"/>
      <c r="EG228" s="740"/>
      <c r="EH228" s="740"/>
      <c r="EI228" s="740"/>
      <c r="EJ228" s="740"/>
      <c r="EK228" s="740"/>
      <c r="EL228" s="740"/>
      <c r="EM228" s="740"/>
      <c r="EN228" s="740"/>
      <c r="EO228" s="740"/>
      <c r="EP228" s="740"/>
      <c r="EQ228" s="740"/>
      <c r="ER228" s="740"/>
      <c r="ES228" s="740"/>
      <c r="ET228" s="740"/>
      <c r="EU228" s="740"/>
      <c r="EV228" s="740"/>
      <c r="EW228" s="740"/>
      <c r="EX228" s="740"/>
      <c r="EY228" s="740"/>
      <c r="EZ228" s="740"/>
      <c r="FA228" s="740"/>
      <c r="FB228" s="740"/>
      <c r="FC228" s="740"/>
      <c r="FD228" s="740"/>
      <c r="FE228" s="740"/>
      <c r="FF228" s="740"/>
      <c r="FG228" s="740"/>
      <c r="FH228" s="740"/>
      <c r="FI228" s="740"/>
      <c r="FJ228" s="740"/>
      <c r="FK228" s="740"/>
      <c r="FL228" s="740"/>
      <c r="FM228" s="740"/>
      <c r="FN228" s="740"/>
      <c r="FO228" s="740"/>
      <c r="FP228" s="740"/>
      <c r="FQ228" s="740"/>
      <c r="FR228" s="740"/>
      <c r="FS228" s="740"/>
      <c r="FT228" s="740"/>
      <c r="FU228" s="740"/>
      <c r="FV228" s="740"/>
      <c r="FW228" s="740"/>
      <c r="FX228" s="740"/>
      <c r="FY228" s="740"/>
      <c r="FZ228" s="740"/>
      <c r="GA228" s="740"/>
      <c r="GB228" s="740"/>
      <c r="GC228" s="740"/>
      <c r="GD228" s="740"/>
      <c r="GE228" s="740"/>
      <c r="GF228" s="740"/>
      <c r="GG228" s="740"/>
      <c r="GH228" s="740"/>
      <c r="GI228" s="740"/>
      <c r="GJ228" s="740"/>
      <c r="GK228" s="740"/>
      <c r="GL228" s="740"/>
      <c r="GM228" s="740"/>
      <c r="GN228" s="740"/>
      <c r="GO228" s="740"/>
      <c r="GP228" s="740"/>
      <c r="GQ228" s="740"/>
      <c r="GR228" s="740"/>
      <c r="GS228" s="740"/>
      <c r="GT228" s="740"/>
      <c r="GU228" s="740"/>
      <c r="GV228" s="740"/>
      <c r="GW228" s="740"/>
    </row>
    <row r="229" spans="18:205" ht="24" customHeight="1" x14ac:dyDescent="0.2">
      <c r="R229" s="740"/>
      <c r="S229" s="740"/>
      <c r="T229" s="740"/>
      <c r="U229" s="740"/>
      <c r="V229" s="740"/>
      <c r="W229" s="740"/>
      <c r="X229" s="740"/>
      <c r="Y229" s="740"/>
      <c r="Z229" s="740"/>
      <c r="AA229" s="740"/>
      <c r="AB229" s="740"/>
      <c r="AC229" s="740"/>
      <c r="AD229" s="740"/>
      <c r="AE229" s="740"/>
      <c r="AF229" s="740"/>
      <c r="AG229" s="740"/>
      <c r="AH229" s="740"/>
      <c r="AI229" s="740"/>
      <c r="AJ229" s="740"/>
      <c r="AK229" s="740"/>
      <c r="AL229" s="740"/>
      <c r="AM229" s="740"/>
      <c r="AN229" s="740"/>
      <c r="AO229" s="740"/>
      <c r="AP229" s="740"/>
      <c r="AQ229" s="740"/>
      <c r="AR229" s="740"/>
      <c r="AS229" s="740"/>
      <c r="AT229" s="740"/>
      <c r="AU229" s="740"/>
      <c r="AV229" s="740"/>
      <c r="AW229" s="740"/>
      <c r="AX229" s="740"/>
      <c r="AY229" s="740"/>
      <c r="AZ229" s="740"/>
      <c r="BA229" s="740"/>
      <c r="BB229" s="740"/>
      <c r="BC229" s="740"/>
      <c r="BD229" s="740"/>
      <c r="BE229" s="740"/>
      <c r="BF229" s="740"/>
      <c r="BG229" s="740"/>
      <c r="BH229" s="740"/>
      <c r="BI229" s="740"/>
      <c r="BJ229" s="740"/>
      <c r="BK229" s="740"/>
      <c r="BL229" s="740"/>
      <c r="BM229" s="740"/>
      <c r="BN229" s="740"/>
      <c r="BO229" s="740"/>
      <c r="BP229" s="740"/>
      <c r="BQ229" s="740"/>
      <c r="BR229" s="740"/>
      <c r="BS229" s="740"/>
      <c r="BT229" s="740"/>
      <c r="BU229" s="740"/>
      <c r="BV229" s="740"/>
      <c r="BW229" s="740"/>
      <c r="BX229" s="740"/>
      <c r="BY229" s="740"/>
      <c r="BZ229" s="740"/>
      <c r="CA229" s="740"/>
      <c r="CB229" s="740"/>
      <c r="CC229" s="740"/>
      <c r="CD229" s="740"/>
      <c r="CE229" s="740"/>
      <c r="CF229" s="740"/>
      <c r="CG229" s="740"/>
      <c r="CH229" s="740"/>
      <c r="CI229" s="740"/>
      <c r="CJ229" s="740"/>
      <c r="CK229" s="740"/>
      <c r="CL229" s="740"/>
      <c r="CM229" s="740"/>
      <c r="CN229" s="740"/>
      <c r="CO229" s="740"/>
      <c r="CP229" s="740"/>
      <c r="CQ229" s="740"/>
      <c r="CR229" s="740"/>
      <c r="CS229" s="740"/>
      <c r="CT229" s="740"/>
      <c r="CU229" s="740"/>
      <c r="CV229" s="740"/>
      <c r="CW229" s="740"/>
      <c r="CX229" s="740"/>
      <c r="CY229" s="740"/>
      <c r="CZ229" s="740"/>
      <c r="DA229" s="740"/>
      <c r="DB229" s="740"/>
      <c r="DC229" s="740"/>
      <c r="DD229" s="740"/>
      <c r="DE229" s="740"/>
      <c r="DF229" s="740"/>
      <c r="DG229" s="740"/>
      <c r="DH229" s="740"/>
      <c r="DI229" s="740"/>
      <c r="DJ229" s="740"/>
      <c r="DK229" s="740"/>
      <c r="DL229" s="740"/>
      <c r="DM229" s="740"/>
      <c r="DN229" s="740"/>
      <c r="DO229" s="740"/>
      <c r="DP229" s="740"/>
      <c r="DQ229" s="740"/>
      <c r="DR229" s="740"/>
      <c r="DS229" s="740"/>
      <c r="DT229" s="740"/>
      <c r="DU229" s="740"/>
      <c r="DV229" s="740"/>
      <c r="DW229" s="740"/>
      <c r="DX229" s="740"/>
      <c r="DY229" s="740"/>
      <c r="DZ229" s="740"/>
      <c r="EA229" s="740"/>
      <c r="EB229" s="740"/>
      <c r="EC229" s="740"/>
      <c r="ED229" s="740"/>
      <c r="EE229" s="740"/>
      <c r="EF229" s="740"/>
      <c r="EG229" s="740"/>
      <c r="EH229" s="740"/>
      <c r="EI229" s="740"/>
      <c r="EJ229" s="740"/>
      <c r="EK229" s="740"/>
      <c r="EL229" s="740"/>
      <c r="EM229" s="740"/>
      <c r="EN229" s="740"/>
      <c r="EO229" s="740"/>
      <c r="EP229" s="740"/>
      <c r="EQ229" s="740"/>
      <c r="ER229" s="740"/>
      <c r="ES229" s="740"/>
      <c r="ET229" s="740"/>
      <c r="EU229" s="740"/>
      <c r="EV229" s="740"/>
      <c r="EW229" s="740"/>
      <c r="EX229" s="740"/>
      <c r="EY229" s="740"/>
      <c r="EZ229" s="740"/>
      <c r="FA229" s="740"/>
      <c r="FB229" s="740"/>
      <c r="FC229" s="740"/>
      <c r="FD229" s="740"/>
      <c r="FE229" s="740"/>
      <c r="FF229" s="740"/>
      <c r="FG229" s="740"/>
      <c r="FH229" s="740"/>
      <c r="FI229" s="740"/>
      <c r="FJ229" s="740"/>
      <c r="FK229" s="740"/>
      <c r="FL229" s="740"/>
      <c r="FM229" s="740"/>
      <c r="FN229" s="740"/>
      <c r="FO229" s="740"/>
      <c r="FP229" s="740"/>
      <c r="FQ229" s="740"/>
      <c r="FR229" s="740"/>
      <c r="FS229" s="740"/>
      <c r="FT229" s="740"/>
      <c r="FU229" s="740"/>
      <c r="FV229" s="740"/>
      <c r="FW229" s="740"/>
      <c r="FX229" s="740"/>
      <c r="FY229" s="740"/>
      <c r="FZ229" s="740"/>
      <c r="GA229" s="740"/>
      <c r="GB229" s="740"/>
      <c r="GC229" s="740"/>
      <c r="GD229" s="740"/>
      <c r="GE229" s="740"/>
      <c r="GF229" s="740"/>
      <c r="GG229" s="740"/>
      <c r="GH229" s="740"/>
      <c r="GI229" s="740"/>
      <c r="GJ229" s="740"/>
      <c r="GK229" s="740"/>
      <c r="GL229" s="740"/>
      <c r="GM229" s="740"/>
      <c r="GN229" s="740"/>
      <c r="GO229" s="740"/>
      <c r="GP229" s="740"/>
      <c r="GQ229" s="740"/>
      <c r="GR229" s="740"/>
      <c r="GS229" s="740"/>
      <c r="GT229" s="740"/>
      <c r="GU229" s="740"/>
      <c r="GV229" s="740"/>
      <c r="GW229" s="740"/>
    </row>
    <row r="230" spans="18:205" ht="24" customHeight="1" x14ac:dyDescent="0.2">
      <c r="R230" s="740"/>
      <c r="S230" s="740"/>
      <c r="T230" s="740"/>
      <c r="U230" s="740"/>
      <c r="V230" s="740"/>
      <c r="W230" s="740"/>
      <c r="X230" s="740"/>
      <c r="Y230" s="740"/>
      <c r="Z230" s="740"/>
      <c r="AA230" s="740"/>
      <c r="AB230" s="740"/>
      <c r="AC230" s="740"/>
      <c r="AD230" s="740"/>
      <c r="AE230" s="740"/>
      <c r="AF230" s="740"/>
      <c r="AG230" s="740"/>
      <c r="AH230" s="740"/>
      <c r="AI230" s="740"/>
      <c r="AJ230" s="740"/>
      <c r="AK230" s="740"/>
      <c r="AL230" s="740"/>
      <c r="AM230" s="740"/>
      <c r="AN230" s="740"/>
      <c r="AO230" s="740"/>
      <c r="AP230" s="740"/>
      <c r="AQ230" s="740"/>
      <c r="AR230" s="740"/>
      <c r="AS230" s="740"/>
      <c r="AT230" s="740"/>
      <c r="AU230" s="740"/>
      <c r="AV230" s="740"/>
      <c r="AW230" s="740"/>
      <c r="AX230" s="740"/>
      <c r="AY230" s="740"/>
      <c r="AZ230" s="740"/>
      <c r="BA230" s="740"/>
      <c r="BB230" s="740"/>
      <c r="BC230" s="740"/>
      <c r="BD230" s="740"/>
      <c r="BE230" s="740"/>
      <c r="BF230" s="740"/>
      <c r="BG230" s="740"/>
      <c r="BH230" s="740"/>
      <c r="BI230" s="740"/>
      <c r="BJ230" s="740"/>
      <c r="BK230" s="740"/>
      <c r="BL230" s="740"/>
      <c r="BM230" s="740"/>
      <c r="BN230" s="740"/>
      <c r="BO230" s="740"/>
      <c r="BP230" s="740"/>
      <c r="BQ230" s="740"/>
      <c r="BR230" s="740"/>
      <c r="BS230" s="740"/>
      <c r="BT230" s="740"/>
      <c r="BU230" s="740"/>
      <c r="BV230" s="740"/>
      <c r="BW230" s="740"/>
      <c r="BX230" s="740"/>
      <c r="BY230" s="740"/>
      <c r="BZ230" s="740"/>
      <c r="CA230" s="740"/>
      <c r="CB230" s="740"/>
      <c r="CC230" s="740"/>
      <c r="CD230" s="740"/>
      <c r="CE230" s="740"/>
      <c r="CF230" s="740"/>
      <c r="CG230" s="740"/>
      <c r="CH230" s="740"/>
      <c r="CI230" s="740"/>
      <c r="CJ230" s="740"/>
      <c r="CK230" s="740"/>
      <c r="CL230" s="740"/>
      <c r="CM230" s="740"/>
      <c r="CN230" s="740"/>
      <c r="CO230" s="740"/>
      <c r="CP230" s="740"/>
      <c r="CQ230" s="740"/>
      <c r="CR230" s="740"/>
      <c r="CS230" s="740"/>
      <c r="CT230" s="740"/>
      <c r="CU230" s="740"/>
      <c r="CV230" s="740"/>
      <c r="CW230" s="740"/>
      <c r="CX230" s="740"/>
      <c r="CY230" s="740"/>
      <c r="CZ230" s="740"/>
      <c r="DA230" s="740"/>
      <c r="DB230" s="740"/>
      <c r="DC230" s="740"/>
      <c r="DD230" s="740"/>
      <c r="DE230" s="740"/>
      <c r="DF230" s="740"/>
      <c r="DG230" s="740"/>
      <c r="DH230" s="740"/>
      <c r="DI230" s="740"/>
      <c r="DJ230" s="740"/>
      <c r="DK230" s="740"/>
      <c r="DL230" s="740"/>
      <c r="DM230" s="740"/>
      <c r="DN230" s="740"/>
      <c r="DO230" s="740"/>
      <c r="DP230" s="740"/>
      <c r="DQ230" s="740"/>
      <c r="DR230" s="740"/>
      <c r="DS230" s="740"/>
      <c r="DT230" s="740"/>
      <c r="DU230" s="740"/>
      <c r="DV230" s="740"/>
      <c r="DW230" s="740"/>
      <c r="DX230" s="740"/>
      <c r="DY230" s="740"/>
      <c r="DZ230" s="740"/>
      <c r="EA230" s="740"/>
      <c r="EB230" s="740"/>
      <c r="EC230" s="740"/>
      <c r="ED230" s="740"/>
      <c r="EE230" s="740"/>
      <c r="EF230" s="740"/>
      <c r="EG230" s="740"/>
      <c r="EH230" s="740"/>
      <c r="EI230" s="740"/>
      <c r="EJ230" s="740"/>
      <c r="EK230" s="740"/>
      <c r="EL230" s="740"/>
      <c r="EM230" s="740"/>
      <c r="EN230" s="740"/>
      <c r="EO230" s="740"/>
      <c r="EP230" s="740"/>
      <c r="EQ230" s="740"/>
      <c r="ER230" s="740"/>
      <c r="ES230" s="740"/>
      <c r="ET230" s="740"/>
      <c r="EU230" s="740"/>
      <c r="EV230" s="740"/>
      <c r="EW230" s="740"/>
      <c r="EX230" s="740"/>
      <c r="EY230" s="740"/>
      <c r="EZ230" s="740"/>
      <c r="FA230" s="740"/>
      <c r="FB230" s="740"/>
      <c r="FC230" s="740"/>
      <c r="FD230" s="740"/>
      <c r="FE230" s="740"/>
      <c r="FF230" s="740"/>
      <c r="FG230" s="740"/>
      <c r="FH230" s="740"/>
      <c r="FI230" s="740"/>
      <c r="FJ230" s="740"/>
      <c r="FK230" s="740"/>
      <c r="FL230" s="740"/>
      <c r="FM230" s="740"/>
      <c r="FN230" s="740"/>
      <c r="FO230" s="740"/>
      <c r="FP230" s="740"/>
      <c r="FQ230" s="740"/>
      <c r="FR230" s="740"/>
      <c r="FS230" s="740"/>
      <c r="FT230" s="740"/>
      <c r="FU230" s="740"/>
      <c r="FV230" s="740"/>
      <c r="FW230" s="740"/>
      <c r="FX230" s="740"/>
      <c r="FY230" s="740"/>
      <c r="FZ230" s="740"/>
      <c r="GA230" s="740"/>
      <c r="GB230" s="740"/>
      <c r="GC230" s="740"/>
      <c r="GD230" s="740"/>
      <c r="GE230" s="740"/>
      <c r="GF230" s="740"/>
      <c r="GG230" s="740"/>
      <c r="GH230" s="740"/>
      <c r="GI230" s="740"/>
      <c r="GJ230" s="740"/>
      <c r="GK230" s="740"/>
      <c r="GL230" s="740"/>
      <c r="GM230" s="740"/>
      <c r="GN230" s="740"/>
      <c r="GO230" s="740"/>
      <c r="GP230" s="740"/>
      <c r="GQ230" s="740"/>
      <c r="GR230" s="740"/>
      <c r="GS230" s="740"/>
      <c r="GT230" s="740"/>
      <c r="GU230" s="740"/>
      <c r="GV230" s="740"/>
      <c r="GW230" s="740"/>
    </row>
    <row r="231" spans="18:205" ht="24" customHeight="1" x14ac:dyDescent="0.2">
      <c r="R231" s="740"/>
      <c r="S231" s="740"/>
      <c r="T231" s="740"/>
      <c r="U231" s="740"/>
      <c r="V231" s="740"/>
      <c r="W231" s="740"/>
      <c r="X231" s="740"/>
      <c r="Y231" s="740"/>
      <c r="Z231" s="740"/>
      <c r="AA231" s="740"/>
      <c r="AB231" s="740"/>
      <c r="AC231" s="740"/>
      <c r="AD231" s="740"/>
      <c r="AE231" s="740"/>
      <c r="AF231" s="740"/>
      <c r="AG231" s="740"/>
      <c r="AH231" s="740"/>
      <c r="AI231" s="740"/>
      <c r="AJ231" s="740"/>
      <c r="AK231" s="740"/>
      <c r="AL231" s="740"/>
      <c r="AM231" s="740"/>
      <c r="AN231" s="740"/>
      <c r="AO231" s="740"/>
      <c r="AP231" s="740"/>
      <c r="AQ231" s="740"/>
      <c r="AR231" s="740"/>
      <c r="AS231" s="740"/>
      <c r="AT231" s="740"/>
      <c r="AU231" s="740"/>
      <c r="AV231" s="740"/>
      <c r="AW231" s="740"/>
      <c r="AX231" s="740"/>
      <c r="AY231" s="740"/>
      <c r="AZ231" s="740"/>
      <c r="BA231" s="740"/>
      <c r="BB231" s="740"/>
      <c r="BC231" s="740"/>
      <c r="BD231" s="740"/>
      <c r="BE231" s="740"/>
      <c r="BF231" s="740"/>
      <c r="BG231" s="740"/>
      <c r="BH231" s="740"/>
      <c r="BI231" s="740"/>
      <c r="BJ231" s="740"/>
      <c r="BK231" s="740"/>
      <c r="BL231" s="740"/>
      <c r="BM231" s="740"/>
      <c r="BN231" s="740"/>
      <c r="BO231" s="740"/>
      <c r="BP231" s="740"/>
      <c r="BQ231" s="740"/>
      <c r="BR231" s="740"/>
      <c r="BS231" s="740"/>
      <c r="BT231" s="740"/>
      <c r="BU231" s="740"/>
      <c r="BV231" s="740"/>
      <c r="BW231" s="740"/>
      <c r="BX231" s="740"/>
      <c r="BY231" s="740"/>
      <c r="BZ231" s="740"/>
      <c r="CA231" s="740"/>
      <c r="CB231" s="740"/>
      <c r="CC231" s="740"/>
      <c r="CD231" s="740"/>
      <c r="CE231" s="740"/>
      <c r="CF231" s="740"/>
      <c r="CG231" s="740"/>
      <c r="CH231" s="740"/>
      <c r="CI231" s="740"/>
      <c r="CJ231" s="740"/>
      <c r="CK231" s="740"/>
      <c r="CL231" s="740"/>
      <c r="CM231" s="740"/>
      <c r="CN231" s="740"/>
      <c r="CO231" s="740"/>
      <c r="CP231" s="740"/>
      <c r="CQ231" s="740"/>
      <c r="CR231" s="740"/>
      <c r="CS231" s="740"/>
      <c r="CT231" s="740"/>
      <c r="CU231" s="740"/>
      <c r="CV231" s="740"/>
      <c r="CW231" s="740"/>
      <c r="CX231" s="740"/>
      <c r="CY231" s="740"/>
      <c r="CZ231" s="740"/>
      <c r="DA231" s="740"/>
      <c r="DB231" s="740"/>
      <c r="DC231" s="740"/>
      <c r="DD231" s="740"/>
      <c r="DE231" s="740"/>
      <c r="DF231" s="740"/>
      <c r="DG231" s="740"/>
      <c r="DH231" s="740"/>
      <c r="DI231" s="740"/>
      <c r="DJ231" s="740"/>
      <c r="DK231" s="740"/>
      <c r="DL231" s="740"/>
      <c r="DM231" s="740"/>
      <c r="DN231" s="740"/>
      <c r="DO231" s="740"/>
      <c r="DP231" s="740"/>
      <c r="DQ231" s="740"/>
      <c r="DR231" s="740"/>
      <c r="DS231" s="740"/>
      <c r="DT231" s="740"/>
      <c r="DU231" s="740"/>
      <c r="DV231" s="740"/>
      <c r="DW231" s="740"/>
      <c r="DX231" s="740"/>
      <c r="DY231" s="740"/>
      <c r="DZ231" s="740"/>
      <c r="EA231" s="740"/>
      <c r="EB231" s="740"/>
      <c r="EC231" s="740"/>
      <c r="ED231" s="740"/>
      <c r="EE231" s="740"/>
      <c r="EF231" s="740"/>
      <c r="EG231" s="740"/>
      <c r="EH231" s="740"/>
      <c r="EI231" s="740"/>
      <c r="EJ231" s="740"/>
      <c r="EK231" s="740"/>
      <c r="EL231" s="740"/>
      <c r="EM231" s="740"/>
      <c r="EN231" s="740"/>
      <c r="EO231" s="740"/>
      <c r="EP231" s="740"/>
      <c r="EQ231" s="740"/>
      <c r="ER231" s="740"/>
      <c r="ES231" s="740"/>
      <c r="ET231" s="740"/>
      <c r="EU231" s="740"/>
      <c r="EV231" s="740"/>
      <c r="EW231" s="740"/>
      <c r="EX231" s="740"/>
      <c r="EY231" s="740"/>
      <c r="EZ231" s="740"/>
      <c r="FA231" s="740"/>
      <c r="FB231" s="740"/>
      <c r="FC231" s="740"/>
      <c r="FD231" s="740"/>
      <c r="FE231" s="740"/>
      <c r="FF231" s="740"/>
      <c r="FG231" s="740"/>
      <c r="FH231" s="740"/>
      <c r="FI231" s="740"/>
      <c r="FJ231" s="740"/>
      <c r="FK231" s="740"/>
      <c r="FL231" s="740"/>
      <c r="FM231" s="740"/>
      <c r="FN231" s="740"/>
      <c r="FO231" s="740"/>
      <c r="FP231" s="740"/>
      <c r="FQ231" s="740"/>
      <c r="FR231" s="740"/>
      <c r="FS231" s="740"/>
      <c r="FT231" s="740"/>
      <c r="FU231" s="740"/>
      <c r="FV231" s="740"/>
      <c r="FW231" s="740"/>
      <c r="FX231" s="740"/>
      <c r="FY231" s="740"/>
      <c r="FZ231" s="740"/>
      <c r="GA231" s="740"/>
      <c r="GB231" s="740"/>
      <c r="GC231" s="740"/>
      <c r="GD231" s="740"/>
      <c r="GE231" s="740"/>
      <c r="GF231" s="740"/>
      <c r="GG231" s="740"/>
      <c r="GH231" s="740"/>
      <c r="GI231" s="740"/>
      <c r="GJ231" s="740"/>
      <c r="GK231" s="740"/>
      <c r="GL231" s="740"/>
      <c r="GM231" s="740"/>
      <c r="GN231" s="740"/>
      <c r="GO231" s="740"/>
      <c r="GP231" s="740"/>
      <c r="GQ231" s="740"/>
      <c r="GR231" s="740"/>
      <c r="GS231" s="740"/>
      <c r="GT231" s="740"/>
      <c r="GU231" s="740"/>
      <c r="GV231" s="740"/>
      <c r="GW231" s="740"/>
    </row>
    <row r="232" spans="18:205" ht="24" customHeight="1" x14ac:dyDescent="0.2">
      <c r="R232" s="740"/>
      <c r="S232" s="740"/>
      <c r="T232" s="740"/>
      <c r="U232" s="740"/>
      <c r="V232" s="740"/>
      <c r="W232" s="740"/>
      <c r="X232" s="740"/>
      <c r="Y232" s="740"/>
      <c r="Z232" s="740"/>
      <c r="AA232" s="740"/>
      <c r="AB232" s="740"/>
      <c r="AC232" s="740"/>
      <c r="AD232" s="740"/>
      <c r="AE232" s="740"/>
      <c r="AF232" s="740"/>
      <c r="AG232" s="740"/>
      <c r="AH232" s="740"/>
      <c r="AI232" s="740"/>
      <c r="AJ232" s="740"/>
      <c r="AK232" s="740"/>
      <c r="AL232" s="740"/>
      <c r="AM232" s="740"/>
      <c r="AN232" s="740"/>
      <c r="AO232" s="740"/>
      <c r="AP232" s="740"/>
      <c r="AQ232" s="740"/>
      <c r="AR232" s="740"/>
      <c r="AS232" s="740"/>
      <c r="AT232" s="740"/>
      <c r="AU232" s="740"/>
      <c r="AV232" s="740"/>
      <c r="AW232" s="740"/>
      <c r="AX232" s="740"/>
      <c r="AY232" s="740"/>
      <c r="AZ232" s="740"/>
      <c r="BA232" s="740"/>
      <c r="BB232" s="740"/>
      <c r="BC232" s="740"/>
      <c r="BD232" s="740"/>
      <c r="BE232" s="740"/>
      <c r="BF232" s="740"/>
      <c r="BG232" s="740"/>
      <c r="BH232" s="740"/>
      <c r="BI232" s="740"/>
      <c r="BJ232" s="740"/>
      <c r="BK232" s="740"/>
      <c r="BL232" s="740"/>
      <c r="BM232" s="740"/>
      <c r="BN232" s="740"/>
      <c r="BO232" s="740"/>
      <c r="BP232" s="740"/>
      <c r="BQ232" s="740"/>
      <c r="BR232" s="740"/>
      <c r="BS232" s="740"/>
      <c r="BT232" s="740"/>
      <c r="BU232" s="740"/>
      <c r="BV232" s="740"/>
      <c r="BW232" s="740"/>
      <c r="BX232" s="740"/>
      <c r="BY232" s="740"/>
      <c r="BZ232" s="740"/>
      <c r="CA232" s="740"/>
      <c r="CB232" s="740"/>
      <c r="CC232" s="740"/>
      <c r="CD232" s="740"/>
      <c r="CE232" s="740"/>
      <c r="CF232" s="740"/>
      <c r="CG232" s="740"/>
      <c r="CH232" s="740"/>
      <c r="CI232" s="740"/>
      <c r="CJ232" s="740"/>
      <c r="CK232" s="740"/>
      <c r="CL232" s="740"/>
      <c r="CM232" s="740"/>
      <c r="CN232" s="740"/>
      <c r="CO232" s="740"/>
      <c r="CP232" s="740"/>
      <c r="CQ232" s="740"/>
      <c r="CR232" s="740"/>
      <c r="CS232" s="740"/>
      <c r="CT232" s="740"/>
      <c r="CU232" s="740"/>
      <c r="CV232" s="740"/>
      <c r="CW232" s="740"/>
      <c r="CX232" s="740"/>
      <c r="CY232" s="740"/>
      <c r="CZ232" s="740"/>
      <c r="DA232" s="740"/>
      <c r="DB232" s="740"/>
      <c r="DC232" s="740"/>
      <c r="DD232" s="740"/>
      <c r="DE232" s="740"/>
      <c r="DF232" s="740"/>
      <c r="DG232" s="740"/>
      <c r="DH232" s="740"/>
      <c r="DI232" s="740"/>
      <c r="DJ232" s="740"/>
      <c r="DK232" s="740"/>
      <c r="DL232" s="740"/>
      <c r="DM232" s="740"/>
      <c r="DN232" s="740"/>
      <c r="DO232" s="740"/>
      <c r="DP232" s="740"/>
      <c r="DQ232" s="740"/>
      <c r="DR232" s="740"/>
      <c r="DS232" s="740"/>
      <c r="DT232" s="740"/>
      <c r="DU232" s="740"/>
      <c r="DV232" s="740"/>
      <c r="DW232" s="740"/>
      <c r="DX232" s="740"/>
      <c r="DY232" s="740"/>
      <c r="DZ232" s="740"/>
      <c r="EA232" s="740"/>
      <c r="EB232" s="740"/>
      <c r="EC232" s="740"/>
      <c r="ED232" s="740"/>
      <c r="EE232" s="740"/>
      <c r="EF232" s="740"/>
      <c r="EG232" s="740"/>
      <c r="EH232" s="740"/>
      <c r="EI232" s="740"/>
      <c r="EJ232" s="740"/>
      <c r="EK232" s="740"/>
      <c r="EL232" s="740"/>
      <c r="EM232" s="740"/>
      <c r="EN232" s="740"/>
      <c r="EO232" s="740"/>
      <c r="EP232" s="740"/>
      <c r="EQ232" s="740"/>
      <c r="ER232" s="740"/>
      <c r="ES232" s="740"/>
      <c r="ET232" s="740"/>
      <c r="EU232" s="740"/>
      <c r="EV232" s="740"/>
      <c r="EW232" s="740"/>
      <c r="EX232" s="740"/>
      <c r="EY232" s="740"/>
      <c r="EZ232" s="740"/>
      <c r="FA232" s="740"/>
      <c r="FB232" s="740"/>
      <c r="FC232" s="740"/>
      <c r="FD232" s="740"/>
      <c r="FE232" s="740"/>
      <c r="FF232" s="740"/>
      <c r="FG232" s="740"/>
      <c r="FH232" s="740"/>
      <c r="FI232" s="740"/>
      <c r="FJ232" s="740"/>
      <c r="FK232" s="740"/>
      <c r="FL232" s="740"/>
      <c r="FM232" s="740"/>
      <c r="FN232" s="740"/>
      <c r="FO232" s="740"/>
      <c r="FP232" s="740"/>
      <c r="FQ232" s="740"/>
      <c r="FR232" s="740"/>
      <c r="FS232" s="740"/>
      <c r="FT232" s="740"/>
      <c r="FU232" s="740"/>
      <c r="FV232" s="740"/>
      <c r="FW232" s="740"/>
      <c r="FX232" s="740"/>
      <c r="FY232" s="740"/>
      <c r="FZ232" s="740"/>
      <c r="GA232" s="740"/>
      <c r="GB232" s="740"/>
      <c r="GC232" s="740"/>
      <c r="GD232" s="740"/>
      <c r="GE232" s="740"/>
      <c r="GF232" s="740"/>
      <c r="GG232" s="740"/>
      <c r="GH232" s="740"/>
      <c r="GI232" s="740"/>
      <c r="GJ232" s="740"/>
      <c r="GK232" s="740"/>
      <c r="GL232" s="740"/>
      <c r="GM232" s="740"/>
      <c r="GN232" s="740"/>
      <c r="GO232" s="740"/>
      <c r="GP232" s="740"/>
      <c r="GQ232" s="740"/>
      <c r="GR232" s="740"/>
      <c r="GS232" s="740"/>
      <c r="GT232" s="740"/>
      <c r="GU232" s="740"/>
      <c r="GV232" s="740"/>
      <c r="GW232" s="740"/>
    </row>
    <row r="233" spans="18:205" ht="24" customHeight="1" x14ac:dyDescent="0.2">
      <c r="R233" s="740"/>
      <c r="S233" s="740"/>
      <c r="T233" s="740"/>
      <c r="U233" s="740"/>
      <c r="V233" s="740"/>
      <c r="W233" s="740"/>
      <c r="X233" s="740"/>
      <c r="Y233" s="740"/>
      <c r="Z233" s="740"/>
      <c r="AA233" s="740"/>
      <c r="AB233" s="740"/>
      <c r="AC233" s="740"/>
      <c r="AD233" s="740"/>
      <c r="AE233" s="740"/>
      <c r="AF233" s="740"/>
      <c r="AG233" s="740"/>
      <c r="AH233" s="740"/>
      <c r="AI233" s="740"/>
      <c r="AJ233" s="740"/>
      <c r="AK233" s="740"/>
      <c r="AL233" s="740"/>
      <c r="AM233" s="740"/>
      <c r="AN233" s="740"/>
      <c r="AO233" s="740"/>
      <c r="AP233" s="740"/>
      <c r="AQ233" s="740"/>
      <c r="AR233" s="740"/>
      <c r="AS233" s="740"/>
      <c r="AT233" s="740"/>
      <c r="AU233" s="740"/>
      <c r="AV233" s="740"/>
      <c r="AW233" s="740"/>
      <c r="AX233" s="740"/>
      <c r="AY233" s="740"/>
      <c r="AZ233" s="740"/>
      <c r="BA233" s="740"/>
      <c r="BB233" s="740"/>
      <c r="BC233" s="740"/>
      <c r="BD233" s="740"/>
      <c r="BE233" s="740"/>
      <c r="BF233" s="740"/>
      <c r="BG233" s="740"/>
      <c r="BH233" s="740"/>
      <c r="BI233" s="740"/>
      <c r="BJ233" s="740"/>
      <c r="BK233" s="740"/>
      <c r="BL233" s="740"/>
      <c r="BM233" s="740"/>
      <c r="BN233" s="740"/>
      <c r="BO233" s="740"/>
      <c r="BP233" s="740"/>
      <c r="BQ233" s="740"/>
      <c r="BR233" s="740"/>
      <c r="BS233" s="740"/>
      <c r="BT233" s="740"/>
      <c r="BU233" s="740"/>
      <c r="BV233" s="740"/>
      <c r="BW233" s="740"/>
      <c r="BX233" s="740"/>
      <c r="BY233" s="740"/>
      <c r="BZ233" s="740"/>
      <c r="CA233" s="740"/>
      <c r="CB233" s="740"/>
      <c r="CC233" s="740"/>
      <c r="CD233" s="740"/>
      <c r="CE233" s="740"/>
      <c r="CF233" s="740"/>
      <c r="CG233" s="740"/>
      <c r="CH233" s="740"/>
      <c r="CI233" s="740"/>
      <c r="CJ233" s="740"/>
      <c r="CK233" s="740"/>
      <c r="CL233" s="740"/>
      <c r="CM233" s="740"/>
      <c r="CN233" s="740"/>
      <c r="CO233" s="740"/>
      <c r="CP233" s="740"/>
      <c r="CQ233" s="740"/>
      <c r="CR233" s="740"/>
      <c r="CS233" s="740"/>
      <c r="CT233" s="740"/>
      <c r="CU233" s="740"/>
      <c r="CV233" s="740"/>
      <c r="CW233" s="740"/>
      <c r="CX233" s="740"/>
      <c r="CY233" s="740"/>
      <c r="CZ233" s="740"/>
      <c r="DA233" s="740"/>
      <c r="DB233" s="740"/>
      <c r="DC233" s="740"/>
      <c r="DD233" s="740"/>
      <c r="DE233" s="740"/>
      <c r="DF233" s="740"/>
      <c r="DG233" s="740"/>
      <c r="DH233" s="740"/>
      <c r="DI233" s="740"/>
      <c r="DJ233" s="740"/>
      <c r="DK233" s="740"/>
      <c r="DL233" s="740"/>
      <c r="DM233" s="740"/>
      <c r="DN233" s="740"/>
      <c r="DO233" s="740"/>
      <c r="DP233" s="740"/>
      <c r="DQ233" s="740"/>
      <c r="DR233" s="740"/>
      <c r="DS233" s="740"/>
      <c r="DT233" s="740"/>
      <c r="DU233" s="740"/>
      <c r="DV233" s="740"/>
      <c r="DW233" s="740"/>
      <c r="DX233" s="740"/>
      <c r="DY233" s="740"/>
      <c r="DZ233" s="740"/>
      <c r="EA233" s="740"/>
      <c r="EB233" s="740"/>
      <c r="EC233" s="740"/>
      <c r="ED233" s="740"/>
      <c r="EE233" s="740"/>
      <c r="EF233" s="740"/>
      <c r="EG233" s="740"/>
      <c r="EH233" s="740"/>
      <c r="EI233" s="740"/>
      <c r="EJ233" s="740"/>
      <c r="EK233" s="740"/>
      <c r="EL233" s="740"/>
      <c r="EM233" s="740"/>
      <c r="EN233" s="740"/>
      <c r="EO233" s="740"/>
      <c r="EP233" s="740"/>
      <c r="EQ233" s="740"/>
      <c r="ER233" s="740"/>
      <c r="ES233" s="740"/>
      <c r="ET233" s="740"/>
      <c r="EU233" s="740"/>
      <c r="EV233" s="740"/>
      <c r="EW233" s="740"/>
      <c r="EX233" s="740"/>
      <c r="EY233" s="740"/>
      <c r="EZ233" s="740"/>
      <c r="FA233" s="740"/>
      <c r="FB233" s="740"/>
      <c r="FC233" s="740"/>
      <c r="FD233" s="740"/>
      <c r="FE233" s="740"/>
      <c r="FF233" s="740"/>
      <c r="FG233" s="740"/>
      <c r="FH233" s="740"/>
      <c r="FI233" s="740"/>
      <c r="FJ233" s="740"/>
      <c r="FK233" s="740"/>
      <c r="FL233" s="740"/>
      <c r="FM233" s="740"/>
      <c r="FN233" s="740"/>
      <c r="FO233" s="740"/>
      <c r="FP233" s="740"/>
      <c r="FQ233" s="740"/>
      <c r="FR233" s="740"/>
      <c r="FS233" s="740"/>
      <c r="FT233" s="740"/>
      <c r="FU233" s="740"/>
      <c r="FV233" s="740"/>
      <c r="FW233" s="740"/>
      <c r="FX233" s="740"/>
      <c r="FY233" s="740"/>
      <c r="FZ233" s="740"/>
      <c r="GA233" s="740"/>
      <c r="GB233" s="740"/>
      <c r="GC233" s="740"/>
      <c r="GD233" s="740"/>
      <c r="GE233" s="740"/>
      <c r="GF233" s="740"/>
      <c r="GG233" s="740"/>
      <c r="GH233" s="740"/>
      <c r="GI233" s="740"/>
      <c r="GJ233" s="740"/>
      <c r="GK233" s="740"/>
      <c r="GL233" s="740"/>
      <c r="GM233" s="740"/>
      <c r="GN233" s="740"/>
      <c r="GO233" s="740"/>
      <c r="GP233" s="740"/>
      <c r="GQ233" s="740"/>
      <c r="GR233" s="740"/>
      <c r="GS233" s="740"/>
      <c r="GT233" s="740"/>
      <c r="GU233" s="740"/>
      <c r="GV233" s="740"/>
      <c r="GW233" s="740"/>
    </row>
    <row r="234" spans="18:205" ht="24" customHeight="1" x14ac:dyDescent="0.2">
      <c r="R234" s="740"/>
      <c r="S234" s="740"/>
      <c r="T234" s="740"/>
      <c r="U234" s="740"/>
      <c r="V234" s="740"/>
      <c r="W234" s="740"/>
      <c r="X234" s="740"/>
      <c r="Y234" s="740"/>
      <c r="Z234" s="740"/>
      <c r="AA234" s="740"/>
      <c r="AB234" s="740"/>
      <c r="AC234" s="740"/>
      <c r="AD234" s="740"/>
      <c r="AE234" s="740"/>
      <c r="AF234" s="740"/>
      <c r="AG234" s="740"/>
      <c r="AH234" s="740"/>
      <c r="AI234" s="740"/>
      <c r="AJ234" s="740"/>
      <c r="AK234" s="740"/>
      <c r="AL234" s="740"/>
      <c r="AM234" s="740"/>
      <c r="AN234" s="740"/>
      <c r="AO234" s="740"/>
      <c r="AP234" s="740"/>
      <c r="AQ234" s="740"/>
      <c r="AR234" s="740"/>
      <c r="AS234" s="740"/>
      <c r="AT234" s="740"/>
      <c r="AU234" s="740"/>
      <c r="AV234" s="740"/>
      <c r="AW234" s="740"/>
      <c r="AX234" s="740"/>
      <c r="AY234" s="740"/>
      <c r="AZ234" s="740"/>
      <c r="BA234" s="740"/>
      <c r="BB234" s="740"/>
      <c r="BC234" s="740"/>
      <c r="BD234" s="740"/>
      <c r="BE234" s="740"/>
      <c r="BF234" s="740"/>
      <c r="BG234" s="740"/>
      <c r="BH234" s="740"/>
      <c r="BI234" s="740"/>
      <c r="BJ234" s="740"/>
      <c r="BK234" s="740"/>
      <c r="BL234" s="740"/>
      <c r="BM234" s="740"/>
      <c r="BN234" s="740"/>
      <c r="BO234" s="740"/>
      <c r="BP234" s="740"/>
      <c r="BQ234" s="740"/>
      <c r="BR234" s="740"/>
      <c r="BS234" s="740"/>
      <c r="BT234" s="740"/>
      <c r="BU234" s="740"/>
      <c r="BV234" s="740"/>
      <c r="BW234" s="740"/>
      <c r="BX234" s="740"/>
      <c r="BY234" s="740"/>
      <c r="BZ234" s="740"/>
      <c r="CA234" s="740"/>
      <c r="CB234" s="740"/>
      <c r="CC234" s="740"/>
      <c r="CD234" s="740"/>
      <c r="CE234" s="740"/>
      <c r="CF234" s="740"/>
      <c r="CG234" s="740"/>
      <c r="CH234" s="740"/>
      <c r="CI234" s="740"/>
      <c r="CJ234" s="740"/>
      <c r="CK234" s="740"/>
      <c r="CL234" s="740"/>
      <c r="CM234" s="740"/>
      <c r="CN234" s="740"/>
      <c r="CO234" s="740"/>
      <c r="CP234" s="740"/>
      <c r="CQ234" s="740"/>
      <c r="CR234" s="740"/>
      <c r="CS234" s="740"/>
      <c r="CT234" s="740"/>
      <c r="CU234" s="740"/>
      <c r="CV234" s="740"/>
      <c r="CW234" s="740"/>
      <c r="CX234" s="740"/>
      <c r="CY234" s="740"/>
      <c r="CZ234" s="740"/>
      <c r="DA234" s="740"/>
      <c r="DB234" s="740"/>
      <c r="DC234" s="740"/>
      <c r="DD234" s="740"/>
      <c r="DE234" s="740"/>
      <c r="DF234" s="740"/>
      <c r="DG234" s="740"/>
      <c r="DH234" s="740"/>
      <c r="DI234" s="740"/>
      <c r="DJ234" s="740"/>
      <c r="DK234" s="740"/>
      <c r="DL234" s="740"/>
      <c r="DM234" s="740"/>
      <c r="DN234" s="740"/>
      <c r="DO234" s="740"/>
      <c r="DP234" s="740"/>
      <c r="DQ234" s="740"/>
      <c r="DR234" s="740"/>
      <c r="DS234" s="740"/>
      <c r="DT234" s="740"/>
      <c r="DU234" s="740"/>
      <c r="DV234" s="740"/>
      <c r="DW234" s="740"/>
      <c r="DX234" s="740"/>
      <c r="DY234" s="740"/>
      <c r="DZ234" s="740"/>
      <c r="EA234" s="740"/>
      <c r="EB234" s="740"/>
      <c r="EC234" s="740"/>
      <c r="ED234" s="740"/>
      <c r="EE234" s="740"/>
      <c r="EF234" s="740"/>
      <c r="EG234" s="740"/>
      <c r="EH234" s="740"/>
      <c r="EI234" s="740"/>
      <c r="EJ234" s="740"/>
      <c r="EK234" s="740"/>
      <c r="EL234" s="740"/>
      <c r="EM234" s="740"/>
      <c r="EN234" s="740"/>
      <c r="EO234" s="740"/>
      <c r="EP234" s="740"/>
      <c r="EQ234" s="740"/>
      <c r="ER234" s="740"/>
      <c r="ES234" s="740"/>
      <c r="ET234" s="740"/>
      <c r="EU234" s="740"/>
      <c r="EV234" s="740"/>
      <c r="EW234" s="740"/>
      <c r="EX234" s="740"/>
      <c r="EY234" s="740"/>
      <c r="EZ234" s="740"/>
      <c r="FA234" s="740"/>
      <c r="FB234" s="740"/>
      <c r="FC234" s="740"/>
      <c r="FD234" s="740"/>
      <c r="FE234" s="740"/>
      <c r="FF234" s="740"/>
      <c r="FG234" s="740"/>
      <c r="FH234" s="740"/>
      <c r="FI234" s="740"/>
      <c r="FJ234" s="740"/>
      <c r="FK234" s="740"/>
      <c r="FL234" s="740"/>
      <c r="FM234" s="740"/>
      <c r="FN234" s="740"/>
      <c r="FO234" s="740"/>
      <c r="FP234" s="740"/>
      <c r="FQ234" s="740"/>
      <c r="FR234" s="740"/>
      <c r="FS234" s="740"/>
      <c r="FT234" s="740"/>
      <c r="FU234" s="740"/>
      <c r="FV234" s="740"/>
      <c r="FW234" s="740"/>
      <c r="FX234" s="740"/>
      <c r="FY234" s="740"/>
      <c r="FZ234" s="740"/>
      <c r="GA234" s="740"/>
      <c r="GB234" s="740"/>
      <c r="GC234" s="740"/>
      <c r="GD234" s="740"/>
      <c r="GE234" s="740"/>
      <c r="GF234" s="740"/>
      <c r="GG234" s="740"/>
      <c r="GH234" s="740"/>
      <c r="GI234" s="740"/>
      <c r="GJ234" s="740"/>
      <c r="GK234" s="740"/>
      <c r="GL234" s="740"/>
      <c r="GM234" s="740"/>
      <c r="GN234" s="740"/>
      <c r="GO234" s="740"/>
      <c r="GP234" s="740"/>
      <c r="GQ234" s="740"/>
      <c r="GR234" s="740"/>
      <c r="GS234" s="740"/>
      <c r="GT234" s="740"/>
      <c r="GU234" s="740"/>
      <c r="GV234" s="740"/>
      <c r="GW234" s="740"/>
    </row>
    <row r="235" spans="18:205" ht="24" customHeight="1" x14ac:dyDescent="0.2">
      <c r="R235" s="740"/>
      <c r="S235" s="740"/>
      <c r="T235" s="740"/>
      <c r="U235" s="740"/>
      <c r="V235" s="740"/>
      <c r="W235" s="740"/>
      <c r="X235" s="740"/>
      <c r="Y235" s="740"/>
      <c r="Z235" s="740"/>
      <c r="AA235" s="740"/>
      <c r="AB235" s="740"/>
      <c r="AC235" s="740"/>
      <c r="AD235" s="740"/>
      <c r="AE235" s="740"/>
      <c r="AF235" s="740"/>
      <c r="AG235" s="740"/>
      <c r="AH235" s="740"/>
      <c r="AI235" s="740"/>
      <c r="AJ235" s="740"/>
      <c r="AK235" s="740"/>
      <c r="AL235" s="740"/>
      <c r="AM235" s="740"/>
      <c r="AN235" s="740"/>
      <c r="AO235" s="740"/>
      <c r="AP235" s="740"/>
      <c r="AQ235" s="740"/>
      <c r="AR235" s="740"/>
      <c r="AS235" s="740"/>
      <c r="AT235" s="740"/>
      <c r="AU235" s="740"/>
      <c r="AV235" s="740"/>
      <c r="AW235" s="740"/>
      <c r="AX235" s="740"/>
      <c r="AY235" s="740"/>
      <c r="AZ235" s="740"/>
      <c r="BA235" s="740"/>
      <c r="BB235" s="740"/>
      <c r="BC235" s="740"/>
      <c r="BD235" s="740"/>
      <c r="BE235" s="740"/>
      <c r="BF235" s="740"/>
      <c r="BG235" s="740"/>
      <c r="BH235" s="740"/>
      <c r="BI235" s="740"/>
      <c r="BJ235" s="740"/>
      <c r="BK235" s="740"/>
      <c r="BL235" s="740"/>
      <c r="BM235" s="740"/>
      <c r="BN235" s="740"/>
      <c r="BO235" s="740"/>
      <c r="BP235" s="740"/>
      <c r="BQ235" s="740"/>
      <c r="BR235" s="740"/>
      <c r="BS235" s="740"/>
      <c r="BT235" s="740"/>
      <c r="BU235" s="740"/>
      <c r="BV235" s="740"/>
      <c r="BW235" s="740"/>
      <c r="BX235" s="740"/>
      <c r="BY235" s="740"/>
      <c r="BZ235" s="740"/>
      <c r="CA235" s="740"/>
      <c r="CB235" s="740"/>
      <c r="CC235" s="740"/>
      <c r="CD235" s="740"/>
      <c r="CE235" s="740"/>
      <c r="CF235" s="740"/>
      <c r="CG235" s="740"/>
      <c r="CH235" s="740"/>
      <c r="CI235" s="740"/>
      <c r="CJ235" s="740"/>
      <c r="CK235" s="740"/>
      <c r="CL235" s="740"/>
      <c r="CM235" s="740"/>
      <c r="CN235" s="740"/>
      <c r="CO235" s="740"/>
      <c r="CP235" s="740"/>
      <c r="CQ235" s="740"/>
      <c r="CR235" s="740"/>
      <c r="CS235" s="740"/>
      <c r="CT235" s="740"/>
      <c r="CU235" s="740"/>
      <c r="CV235" s="740"/>
      <c r="CW235" s="740"/>
      <c r="CX235" s="740"/>
      <c r="CY235" s="740"/>
      <c r="CZ235" s="740"/>
      <c r="DA235" s="740"/>
      <c r="DB235" s="740"/>
      <c r="DC235" s="740"/>
      <c r="DD235" s="740"/>
      <c r="DE235" s="740"/>
      <c r="DF235" s="740"/>
      <c r="DG235" s="740"/>
      <c r="DH235" s="740"/>
      <c r="DI235" s="740"/>
      <c r="DJ235" s="740"/>
      <c r="DK235" s="740"/>
      <c r="DL235" s="740"/>
      <c r="DM235" s="740"/>
      <c r="DN235" s="740"/>
      <c r="DO235" s="740"/>
      <c r="DP235" s="740"/>
      <c r="DQ235" s="740"/>
      <c r="DR235" s="740"/>
      <c r="DS235" s="740"/>
      <c r="DT235" s="740"/>
      <c r="DU235" s="740"/>
      <c r="DV235" s="740"/>
      <c r="DW235" s="740"/>
      <c r="DX235" s="740"/>
      <c r="DY235" s="740"/>
      <c r="DZ235" s="740"/>
      <c r="EA235" s="740"/>
      <c r="EB235" s="740"/>
      <c r="EC235" s="740"/>
      <c r="ED235" s="740"/>
      <c r="EE235" s="740"/>
      <c r="EF235" s="740"/>
      <c r="EG235" s="740"/>
      <c r="EH235" s="740"/>
      <c r="EI235" s="740"/>
      <c r="EJ235" s="740"/>
      <c r="EK235" s="740"/>
      <c r="EL235" s="740"/>
      <c r="EM235" s="740"/>
      <c r="EN235" s="740"/>
      <c r="EO235" s="740"/>
      <c r="EP235" s="740"/>
      <c r="EQ235" s="740"/>
      <c r="ER235" s="740"/>
      <c r="ES235" s="740"/>
      <c r="ET235" s="740"/>
      <c r="EU235" s="740"/>
      <c r="EV235" s="740"/>
      <c r="EW235" s="740"/>
      <c r="EX235" s="740"/>
      <c r="EY235" s="740"/>
      <c r="EZ235" s="740"/>
      <c r="FA235" s="740"/>
      <c r="FB235" s="740"/>
      <c r="FC235" s="740"/>
      <c r="FD235" s="740"/>
      <c r="FE235" s="740"/>
      <c r="FF235" s="740"/>
      <c r="FG235" s="740"/>
      <c r="FH235" s="740"/>
      <c r="FI235" s="740"/>
      <c r="FJ235" s="740"/>
      <c r="FK235" s="740"/>
      <c r="FL235" s="740"/>
      <c r="FM235" s="740"/>
      <c r="FN235" s="740"/>
      <c r="FO235" s="740"/>
      <c r="FP235" s="740"/>
      <c r="FQ235" s="740"/>
      <c r="FR235" s="740"/>
      <c r="FS235" s="740"/>
      <c r="FT235" s="740"/>
      <c r="FU235" s="740"/>
      <c r="FV235" s="740"/>
      <c r="FW235" s="740"/>
      <c r="FX235" s="740"/>
      <c r="FY235" s="740"/>
      <c r="FZ235" s="740"/>
      <c r="GA235" s="740"/>
      <c r="GB235" s="740"/>
      <c r="GC235" s="740"/>
      <c r="GD235" s="740"/>
      <c r="GE235" s="740"/>
      <c r="GF235" s="740"/>
      <c r="GG235" s="740"/>
      <c r="GH235" s="740"/>
      <c r="GI235" s="740"/>
      <c r="GJ235" s="740"/>
      <c r="GK235" s="740"/>
      <c r="GL235" s="740"/>
      <c r="GM235" s="740"/>
      <c r="GN235" s="740"/>
      <c r="GO235" s="740"/>
      <c r="GP235" s="740"/>
      <c r="GQ235" s="740"/>
      <c r="GR235" s="740"/>
      <c r="GS235" s="740"/>
      <c r="GT235" s="740"/>
      <c r="GU235" s="740"/>
      <c r="GV235" s="740"/>
      <c r="GW235" s="740"/>
    </row>
    <row r="236" spans="18:205" ht="24" customHeight="1" x14ac:dyDescent="0.2">
      <c r="R236" s="740"/>
      <c r="S236" s="740"/>
      <c r="T236" s="740"/>
      <c r="U236" s="740"/>
      <c r="V236" s="740"/>
      <c r="W236" s="740"/>
      <c r="X236" s="740"/>
      <c r="Y236" s="740"/>
      <c r="Z236" s="740"/>
      <c r="AA236" s="740"/>
      <c r="AB236" s="740"/>
      <c r="AC236" s="740"/>
      <c r="AD236" s="740"/>
      <c r="AE236" s="740"/>
      <c r="AF236" s="740"/>
      <c r="AG236" s="740"/>
      <c r="AH236" s="740"/>
      <c r="AI236" s="740"/>
      <c r="AJ236" s="740"/>
      <c r="AK236" s="740"/>
      <c r="AL236" s="740"/>
      <c r="AM236" s="740"/>
      <c r="AN236" s="740"/>
      <c r="AO236" s="740"/>
      <c r="AP236" s="740"/>
      <c r="AQ236" s="740"/>
      <c r="AR236" s="740"/>
      <c r="AS236" s="740"/>
      <c r="AT236" s="740"/>
      <c r="AU236" s="740"/>
      <c r="AV236" s="740"/>
      <c r="AW236" s="740"/>
      <c r="AX236" s="740"/>
      <c r="AY236" s="740"/>
      <c r="AZ236" s="740"/>
      <c r="BA236" s="740"/>
      <c r="BB236" s="740"/>
      <c r="BC236" s="740"/>
      <c r="BD236" s="740"/>
      <c r="BE236" s="740"/>
      <c r="BF236" s="740"/>
      <c r="BG236" s="740"/>
      <c r="BH236" s="740"/>
      <c r="BI236" s="740"/>
      <c r="BJ236" s="740"/>
      <c r="BK236" s="740"/>
      <c r="BL236" s="740"/>
      <c r="BM236" s="740"/>
      <c r="BN236" s="740"/>
      <c r="BO236" s="740"/>
      <c r="BP236" s="740"/>
      <c r="BQ236" s="740"/>
      <c r="BR236" s="740"/>
      <c r="BS236" s="740"/>
      <c r="BT236" s="740"/>
      <c r="BU236" s="740"/>
      <c r="BV236" s="740"/>
      <c r="BW236" s="740"/>
      <c r="BX236" s="740"/>
      <c r="BY236" s="740"/>
      <c r="BZ236" s="740"/>
      <c r="CA236" s="740"/>
      <c r="CB236" s="740"/>
      <c r="CC236" s="740"/>
      <c r="CD236" s="740"/>
      <c r="CE236" s="740"/>
      <c r="CF236" s="740"/>
      <c r="CG236" s="740"/>
      <c r="CH236" s="740"/>
      <c r="CI236" s="740"/>
      <c r="CJ236" s="740"/>
      <c r="CK236" s="740"/>
      <c r="CL236" s="740"/>
      <c r="CM236" s="740"/>
      <c r="CN236" s="740"/>
      <c r="CO236" s="740"/>
      <c r="CP236" s="740"/>
      <c r="CQ236" s="740"/>
      <c r="CR236" s="740"/>
      <c r="CS236" s="740"/>
      <c r="CT236" s="740"/>
      <c r="CU236" s="740"/>
      <c r="CV236" s="740"/>
      <c r="CW236" s="740"/>
      <c r="CX236" s="740"/>
      <c r="CY236" s="740"/>
      <c r="CZ236" s="740"/>
      <c r="DA236" s="740"/>
      <c r="DB236" s="740"/>
      <c r="DC236" s="740"/>
      <c r="DD236" s="740"/>
      <c r="DE236" s="740"/>
      <c r="DF236" s="740"/>
      <c r="DG236" s="740"/>
      <c r="DH236" s="740"/>
      <c r="DI236" s="740"/>
      <c r="DJ236" s="740"/>
      <c r="DK236" s="740"/>
      <c r="DL236" s="740"/>
      <c r="DM236" s="740"/>
      <c r="DN236" s="740"/>
      <c r="DO236" s="740"/>
      <c r="DP236" s="740"/>
      <c r="DQ236" s="740"/>
      <c r="DR236" s="740"/>
      <c r="DS236" s="740"/>
      <c r="DT236" s="740"/>
      <c r="DU236" s="740"/>
      <c r="DV236" s="740"/>
      <c r="DW236" s="740"/>
      <c r="DX236" s="740"/>
      <c r="DY236" s="740"/>
      <c r="DZ236" s="740"/>
      <c r="EA236" s="740"/>
      <c r="EB236" s="740"/>
      <c r="EC236" s="740"/>
      <c r="ED236" s="740"/>
      <c r="EE236" s="740"/>
      <c r="EF236" s="740"/>
      <c r="EG236" s="740"/>
      <c r="EH236" s="740"/>
      <c r="EI236" s="740"/>
      <c r="EJ236" s="740"/>
      <c r="EK236" s="740"/>
      <c r="EL236" s="740"/>
      <c r="EM236" s="740"/>
      <c r="EN236" s="740"/>
      <c r="EO236" s="740"/>
      <c r="EP236" s="740"/>
      <c r="EQ236" s="740"/>
      <c r="ER236" s="740"/>
      <c r="ES236" s="740"/>
      <c r="ET236" s="740"/>
      <c r="EU236" s="740"/>
      <c r="EV236" s="740"/>
      <c r="EW236" s="740"/>
      <c r="EX236" s="740"/>
      <c r="EY236" s="740"/>
      <c r="EZ236" s="740"/>
      <c r="FA236" s="740"/>
      <c r="FB236" s="740"/>
      <c r="FC236" s="740"/>
      <c r="FD236" s="740"/>
      <c r="FE236" s="740"/>
      <c r="FF236" s="740"/>
      <c r="FG236" s="740"/>
      <c r="FH236" s="740"/>
      <c r="FI236" s="740"/>
      <c r="FJ236" s="740"/>
      <c r="FK236" s="740"/>
      <c r="FL236" s="740"/>
      <c r="FM236" s="740"/>
      <c r="FN236" s="740"/>
      <c r="FO236" s="740"/>
      <c r="FP236" s="740"/>
      <c r="FQ236" s="740"/>
      <c r="FR236" s="740"/>
      <c r="FS236" s="740"/>
      <c r="FT236" s="740"/>
      <c r="FU236" s="740"/>
      <c r="FV236" s="740"/>
      <c r="FW236" s="740"/>
      <c r="FX236" s="740"/>
      <c r="FY236" s="740"/>
      <c r="FZ236" s="740"/>
      <c r="GA236" s="740"/>
      <c r="GB236" s="740"/>
      <c r="GC236" s="740"/>
      <c r="GD236" s="740"/>
      <c r="GE236" s="740"/>
      <c r="GF236" s="740"/>
      <c r="GG236" s="740"/>
      <c r="GH236" s="740"/>
      <c r="GI236" s="740"/>
      <c r="GJ236" s="740"/>
      <c r="GK236" s="740"/>
      <c r="GL236" s="740"/>
      <c r="GM236" s="740"/>
      <c r="GN236" s="740"/>
      <c r="GO236" s="740"/>
      <c r="GP236" s="740"/>
      <c r="GQ236" s="740"/>
      <c r="GR236" s="740"/>
      <c r="GS236" s="740"/>
      <c r="GT236" s="740"/>
      <c r="GU236" s="740"/>
      <c r="GV236" s="740"/>
      <c r="GW236" s="740"/>
    </row>
    <row r="237" spans="18:205" ht="24" customHeight="1" x14ac:dyDescent="0.2">
      <c r="R237" s="740"/>
      <c r="S237" s="740"/>
      <c r="T237" s="740"/>
      <c r="U237" s="740"/>
      <c r="V237" s="740"/>
      <c r="W237" s="740"/>
      <c r="X237" s="740"/>
      <c r="Y237" s="740"/>
      <c r="Z237" s="740"/>
      <c r="AA237" s="740"/>
      <c r="AB237" s="740"/>
      <c r="AC237" s="740"/>
      <c r="AD237" s="740"/>
      <c r="AE237" s="740"/>
      <c r="AF237" s="740"/>
      <c r="AG237" s="740"/>
      <c r="AH237" s="740"/>
      <c r="AI237" s="740"/>
      <c r="AJ237" s="740"/>
      <c r="AK237" s="740"/>
      <c r="AL237" s="740"/>
      <c r="AM237" s="740"/>
      <c r="AN237" s="740"/>
      <c r="AO237" s="740"/>
      <c r="AP237" s="740"/>
      <c r="AQ237" s="740"/>
      <c r="AR237" s="740"/>
      <c r="AS237" s="740"/>
      <c r="AT237" s="740"/>
      <c r="AU237" s="740"/>
      <c r="AV237" s="740"/>
      <c r="AW237" s="740"/>
      <c r="AX237" s="740"/>
      <c r="AY237" s="740"/>
      <c r="AZ237" s="740"/>
      <c r="BA237" s="740"/>
      <c r="BB237" s="740"/>
      <c r="BC237" s="740"/>
      <c r="BD237" s="740"/>
      <c r="BE237" s="740"/>
      <c r="BF237" s="740"/>
      <c r="BG237" s="740"/>
      <c r="BH237" s="740"/>
      <c r="BI237" s="740"/>
      <c r="BJ237" s="740"/>
      <c r="BK237" s="740"/>
      <c r="BL237" s="740"/>
      <c r="BM237" s="740"/>
      <c r="BN237" s="740"/>
      <c r="BO237" s="740"/>
      <c r="BP237" s="740"/>
      <c r="BQ237" s="740"/>
      <c r="BR237" s="740"/>
      <c r="BS237" s="740"/>
      <c r="BT237" s="740"/>
      <c r="BU237" s="740"/>
      <c r="BV237" s="740"/>
      <c r="BW237" s="740"/>
      <c r="BX237" s="740"/>
      <c r="BY237" s="740"/>
      <c r="BZ237" s="740"/>
      <c r="CA237" s="740"/>
      <c r="CB237" s="740"/>
      <c r="CC237" s="740"/>
      <c r="CD237" s="740"/>
      <c r="CE237" s="740"/>
      <c r="CF237" s="740"/>
      <c r="CG237" s="740"/>
      <c r="CH237" s="740"/>
      <c r="CI237" s="740"/>
      <c r="CJ237" s="740"/>
      <c r="CK237" s="740"/>
      <c r="CL237" s="740"/>
      <c r="CM237" s="740"/>
      <c r="CN237" s="740"/>
      <c r="CO237" s="740"/>
      <c r="CP237" s="740"/>
      <c r="CQ237" s="740"/>
      <c r="CR237" s="740"/>
      <c r="CS237" s="740"/>
      <c r="CT237" s="740"/>
      <c r="CU237" s="740"/>
      <c r="CV237" s="740"/>
      <c r="CW237" s="740"/>
      <c r="CX237" s="740"/>
      <c r="CY237" s="740"/>
      <c r="CZ237" s="740"/>
      <c r="DA237" s="740"/>
      <c r="DB237" s="740"/>
      <c r="DC237" s="740"/>
      <c r="DD237" s="740"/>
      <c r="DE237" s="740"/>
      <c r="DF237" s="740"/>
      <c r="DG237" s="740"/>
      <c r="DH237" s="740"/>
      <c r="DI237" s="740"/>
      <c r="DJ237" s="740"/>
      <c r="DK237" s="740"/>
      <c r="DL237" s="740"/>
      <c r="DM237" s="740"/>
      <c r="DN237" s="740"/>
      <c r="DO237" s="740"/>
      <c r="DP237" s="740"/>
      <c r="DQ237" s="740"/>
      <c r="DR237" s="740"/>
      <c r="DS237" s="740"/>
      <c r="DT237" s="740"/>
      <c r="DU237" s="740"/>
      <c r="DV237" s="740"/>
      <c r="DW237" s="740"/>
      <c r="DX237" s="740"/>
      <c r="DY237" s="740"/>
      <c r="DZ237" s="740"/>
      <c r="EA237" s="740"/>
      <c r="EB237" s="740"/>
      <c r="EC237" s="740"/>
      <c r="ED237" s="740"/>
      <c r="EE237" s="740"/>
      <c r="EF237" s="740"/>
      <c r="EG237" s="740"/>
      <c r="EH237" s="740"/>
      <c r="EI237" s="740"/>
      <c r="EJ237" s="740"/>
      <c r="EK237" s="740"/>
      <c r="EL237" s="740"/>
      <c r="EM237" s="740"/>
      <c r="EN237" s="740"/>
      <c r="EO237" s="740"/>
      <c r="EP237" s="740"/>
      <c r="EQ237" s="740"/>
      <c r="ER237" s="740"/>
      <c r="ES237" s="740"/>
      <c r="ET237" s="740"/>
      <c r="EU237" s="740"/>
      <c r="EV237" s="740"/>
      <c r="EW237" s="740"/>
      <c r="EX237" s="740"/>
      <c r="EY237" s="740"/>
      <c r="EZ237" s="740"/>
      <c r="FA237" s="740"/>
      <c r="FB237" s="740"/>
      <c r="FC237" s="740"/>
      <c r="FD237" s="740"/>
      <c r="FE237" s="740"/>
      <c r="FF237" s="740"/>
      <c r="FG237" s="740"/>
      <c r="FH237" s="740"/>
      <c r="FI237" s="740"/>
      <c r="FJ237" s="740"/>
      <c r="FK237" s="740"/>
      <c r="FL237" s="740"/>
      <c r="FM237" s="740"/>
      <c r="FN237" s="740"/>
      <c r="FO237" s="740"/>
      <c r="FP237" s="740"/>
      <c r="FQ237" s="740"/>
      <c r="FR237" s="740"/>
      <c r="FS237" s="740"/>
      <c r="FT237" s="740"/>
      <c r="FU237" s="740"/>
      <c r="FV237" s="740"/>
      <c r="FW237" s="740"/>
      <c r="FX237" s="740"/>
      <c r="FY237" s="740"/>
      <c r="FZ237" s="740"/>
      <c r="GA237" s="740"/>
      <c r="GB237" s="740"/>
      <c r="GC237" s="740"/>
      <c r="GD237" s="740"/>
      <c r="GE237" s="740"/>
      <c r="GF237" s="740"/>
      <c r="GG237" s="740"/>
      <c r="GH237" s="740"/>
      <c r="GI237" s="740"/>
      <c r="GJ237" s="740"/>
      <c r="GK237" s="740"/>
      <c r="GL237" s="740"/>
      <c r="GM237" s="740"/>
      <c r="GN237" s="740"/>
      <c r="GO237" s="740"/>
      <c r="GP237" s="740"/>
      <c r="GQ237" s="740"/>
      <c r="GR237" s="740"/>
      <c r="GS237" s="740"/>
      <c r="GT237" s="740"/>
      <c r="GU237" s="740"/>
      <c r="GV237" s="740"/>
      <c r="GW237" s="740"/>
    </row>
    <row r="238" spans="18:205" ht="24" customHeight="1" x14ac:dyDescent="0.2">
      <c r="R238" s="740"/>
      <c r="S238" s="740"/>
      <c r="T238" s="740"/>
      <c r="U238" s="740"/>
      <c r="V238" s="740"/>
      <c r="W238" s="740"/>
      <c r="X238" s="740"/>
      <c r="Y238" s="740"/>
      <c r="Z238" s="740"/>
      <c r="AA238" s="740"/>
      <c r="AB238" s="740"/>
      <c r="AC238" s="740"/>
      <c r="AD238" s="740"/>
      <c r="AE238" s="740"/>
      <c r="AF238" s="740"/>
      <c r="AG238" s="740"/>
      <c r="AH238" s="740"/>
      <c r="AI238" s="740"/>
      <c r="AJ238" s="740"/>
      <c r="AK238" s="740"/>
      <c r="AL238" s="740"/>
      <c r="AM238" s="740"/>
      <c r="AN238" s="740"/>
      <c r="AO238" s="740"/>
      <c r="AP238" s="740"/>
      <c r="AQ238" s="740"/>
      <c r="AR238" s="740"/>
      <c r="AS238" s="740"/>
      <c r="AT238" s="740"/>
      <c r="AU238" s="740"/>
      <c r="AV238" s="740"/>
      <c r="AW238" s="740"/>
      <c r="AX238" s="740"/>
      <c r="AY238" s="740"/>
      <c r="AZ238" s="740"/>
      <c r="BA238" s="740"/>
      <c r="BB238" s="740"/>
      <c r="BC238" s="740"/>
      <c r="BD238" s="740"/>
      <c r="BE238" s="740"/>
      <c r="BF238" s="740"/>
      <c r="BG238" s="740"/>
      <c r="BH238" s="740"/>
      <c r="BI238" s="740"/>
      <c r="BJ238" s="740"/>
      <c r="BK238" s="740"/>
      <c r="BL238" s="740"/>
      <c r="BM238" s="740"/>
      <c r="BN238" s="740"/>
      <c r="BO238" s="740"/>
      <c r="BP238" s="740"/>
      <c r="BQ238" s="740"/>
      <c r="BR238" s="740"/>
      <c r="BS238" s="740"/>
      <c r="BT238" s="740"/>
      <c r="BU238" s="740"/>
      <c r="BV238" s="740"/>
      <c r="BW238" s="740"/>
      <c r="BX238" s="740"/>
      <c r="BY238" s="740"/>
      <c r="BZ238" s="740"/>
      <c r="CA238" s="740"/>
      <c r="CB238" s="740"/>
      <c r="CC238" s="740"/>
      <c r="CD238" s="740"/>
      <c r="CE238" s="740"/>
      <c r="CF238" s="740"/>
      <c r="CG238" s="740"/>
      <c r="CH238" s="740"/>
      <c r="CI238" s="740"/>
      <c r="CJ238" s="740"/>
      <c r="CK238" s="740"/>
      <c r="CL238" s="740"/>
      <c r="CM238" s="740"/>
      <c r="CN238" s="740"/>
      <c r="CO238" s="740"/>
      <c r="CP238" s="740"/>
      <c r="CQ238" s="740"/>
      <c r="CR238" s="740"/>
      <c r="CS238" s="740"/>
      <c r="CT238" s="740"/>
      <c r="CU238" s="740"/>
      <c r="CV238" s="740"/>
      <c r="CW238" s="740"/>
      <c r="CX238" s="740"/>
      <c r="CY238" s="740"/>
      <c r="CZ238" s="740"/>
      <c r="DA238" s="740"/>
      <c r="DB238" s="740"/>
      <c r="DC238" s="740"/>
      <c r="DD238" s="740"/>
      <c r="DE238" s="740"/>
      <c r="DF238" s="740"/>
      <c r="DG238" s="740"/>
      <c r="DH238" s="740"/>
      <c r="DI238" s="740"/>
      <c r="DJ238" s="740"/>
      <c r="DK238" s="740"/>
      <c r="DL238" s="740"/>
      <c r="DM238" s="740"/>
      <c r="DN238" s="740"/>
      <c r="DO238" s="740"/>
      <c r="DP238" s="740"/>
      <c r="DQ238" s="740"/>
      <c r="DR238" s="740"/>
      <c r="DS238" s="740"/>
      <c r="DT238" s="740"/>
      <c r="DU238" s="740"/>
      <c r="DV238" s="740"/>
      <c r="DW238" s="740"/>
      <c r="DX238" s="740"/>
      <c r="DY238" s="740"/>
      <c r="DZ238" s="740"/>
      <c r="EA238" s="740"/>
      <c r="EB238" s="740"/>
      <c r="EC238" s="740"/>
      <c r="ED238" s="740"/>
      <c r="EE238" s="740"/>
      <c r="EF238" s="740"/>
      <c r="EG238" s="740"/>
      <c r="EH238" s="740"/>
      <c r="EI238" s="740"/>
      <c r="EJ238" s="740"/>
      <c r="EK238" s="740"/>
      <c r="EL238" s="740"/>
      <c r="EM238" s="740"/>
      <c r="EN238" s="740"/>
      <c r="EO238" s="740"/>
      <c r="EP238" s="740"/>
      <c r="EQ238" s="740"/>
      <c r="ER238" s="740"/>
      <c r="ES238" s="740"/>
      <c r="ET238" s="740"/>
      <c r="EU238" s="740"/>
      <c r="EV238" s="740"/>
      <c r="EW238" s="740"/>
      <c r="EX238" s="740"/>
      <c r="EY238" s="740"/>
      <c r="EZ238" s="740"/>
      <c r="FA238" s="740"/>
      <c r="FB238" s="740"/>
      <c r="FC238" s="740"/>
      <c r="FD238" s="740"/>
      <c r="FE238" s="740"/>
      <c r="FF238" s="740"/>
      <c r="FG238" s="740"/>
      <c r="FH238" s="740"/>
      <c r="FI238" s="740"/>
      <c r="FJ238" s="740"/>
      <c r="FK238" s="740"/>
      <c r="FL238" s="740"/>
      <c r="FM238" s="740"/>
      <c r="FN238" s="740"/>
      <c r="FO238" s="740"/>
      <c r="FP238" s="740"/>
      <c r="FQ238" s="740"/>
      <c r="FR238" s="740"/>
      <c r="FS238" s="740"/>
      <c r="FT238" s="740"/>
      <c r="FU238" s="740"/>
      <c r="FV238" s="740"/>
      <c r="FW238" s="740"/>
      <c r="FX238" s="740"/>
      <c r="FY238" s="740"/>
      <c r="FZ238" s="740"/>
      <c r="GA238" s="740"/>
      <c r="GB238" s="740"/>
      <c r="GC238" s="740"/>
      <c r="GD238" s="740"/>
      <c r="GE238" s="740"/>
      <c r="GF238" s="740"/>
      <c r="GG238" s="740"/>
      <c r="GH238" s="740"/>
      <c r="GI238" s="740"/>
      <c r="GJ238" s="740"/>
      <c r="GK238" s="740"/>
      <c r="GL238" s="740"/>
      <c r="GM238" s="740"/>
      <c r="GN238" s="740"/>
      <c r="GO238" s="740"/>
      <c r="GP238" s="740"/>
      <c r="GQ238" s="740"/>
      <c r="GR238" s="740"/>
      <c r="GS238" s="740"/>
      <c r="GT238" s="740"/>
      <c r="GU238" s="740"/>
      <c r="GV238" s="740"/>
      <c r="GW238" s="740"/>
    </row>
    <row r="239" spans="18:205" ht="24" customHeight="1" x14ac:dyDescent="0.2">
      <c r="R239" s="740"/>
      <c r="S239" s="740"/>
      <c r="T239" s="740"/>
      <c r="U239" s="740"/>
      <c r="V239" s="740"/>
      <c r="W239" s="740"/>
      <c r="X239" s="740"/>
      <c r="Y239" s="740"/>
      <c r="Z239" s="740"/>
      <c r="AA239" s="740"/>
      <c r="AB239" s="740"/>
      <c r="AC239" s="740"/>
      <c r="AD239" s="740"/>
      <c r="AE239" s="740"/>
      <c r="AF239" s="740"/>
      <c r="AG239" s="740"/>
      <c r="AH239" s="740"/>
      <c r="AI239" s="740"/>
      <c r="AJ239" s="740"/>
      <c r="AK239" s="740"/>
      <c r="AL239" s="740"/>
      <c r="AM239" s="740"/>
      <c r="AN239" s="740"/>
      <c r="AO239" s="740"/>
      <c r="AP239" s="740"/>
      <c r="AQ239" s="740"/>
      <c r="AR239" s="740"/>
      <c r="AS239" s="740"/>
      <c r="AT239" s="740"/>
      <c r="AU239" s="740"/>
      <c r="AV239" s="740"/>
      <c r="AW239" s="740"/>
      <c r="AX239" s="740"/>
      <c r="AY239" s="740"/>
      <c r="AZ239" s="740"/>
      <c r="BA239" s="740"/>
      <c r="BB239" s="740"/>
      <c r="BC239" s="740"/>
      <c r="BD239" s="740"/>
      <c r="BE239" s="740"/>
      <c r="BF239" s="740"/>
      <c r="BG239" s="740"/>
      <c r="BH239" s="740"/>
      <c r="BI239" s="740"/>
      <c r="BJ239" s="740"/>
      <c r="BK239" s="740"/>
      <c r="BL239" s="740"/>
      <c r="BM239" s="740"/>
      <c r="BN239" s="740"/>
      <c r="BO239" s="740"/>
      <c r="BP239" s="740"/>
      <c r="BQ239" s="740"/>
      <c r="BR239" s="740"/>
      <c r="BS239" s="740"/>
      <c r="BT239" s="740"/>
      <c r="BU239" s="740"/>
      <c r="BV239" s="740"/>
      <c r="BW239" s="740"/>
      <c r="BX239" s="740"/>
      <c r="BY239" s="740"/>
      <c r="BZ239" s="740"/>
      <c r="CA239" s="740"/>
      <c r="CB239" s="740"/>
      <c r="CC239" s="740"/>
      <c r="CD239" s="740"/>
      <c r="CE239" s="740"/>
      <c r="CF239" s="740"/>
      <c r="CG239" s="740"/>
      <c r="CH239" s="740"/>
      <c r="CI239" s="740"/>
      <c r="CJ239" s="740"/>
      <c r="CK239" s="740"/>
      <c r="CL239" s="740"/>
      <c r="CM239" s="740"/>
      <c r="CN239" s="740"/>
      <c r="CO239" s="740"/>
      <c r="CP239" s="740"/>
      <c r="CQ239" s="740"/>
      <c r="CR239" s="740"/>
      <c r="CS239" s="740"/>
      <c r="CT239" s="740"/>
      <c r="CU239" s="740"/>
      <c r="CV239" s="740"/>
      <c r="CW239" s="740"/>
      <c r="CX239" s="740"/>
      <c r="CY239" s="740"/>
      <c r="CZ239" s="740"/>
      <c r="DA239" s="740"/>
      <c r="DB239" s="740"/>
      <c r="DC239" s="740"/>
      <c r="DD239" s="740"/>
      <c r="DE239" s="740"/>
      <c r="DF239" s="740"/>
      <c r="DG239" s="740"/>
      <c r="DH239" s="740"/>
      <c r="DI239" s="740"/>
      <c r="DJ239" s="740"/>
      <c r="DK239" s="740"/>
      <c r="DL239" s="740"/>
      <c r="DM239" s="740"/>
      <c r="DN239" s="740"/>
      <c r="DO239" s="740"/>
      <c r="DP239" s="740"/>
      <c r="DQ239" s="740"/>
      <c r="DR239" s="740"/>
      <c r="DS239" s="740"/>
      <c r="DT239" s="740"/>
      <c r="DU239" s="740"/>
      <c r="DV239" s="740"/>
      <c r="DW239" s="740"/>
      <c r="DX239" s="740"/>
      <c r="DY239" s="740"/>
      <c r="DZ239" s="740"/>
      <c r="EA239" s="740"/>
      <c r="EB239" s="740"/>
      <c r="EC239" s="740"/>
      <c r="ED239" s="740"/>
      <c r="EE239" s="740"/>
      <c r="EF239" s="740"/>
      <c r="EG239" s="740"/>
      <c r="EH239" s="740"/>
      <c r="EI239" s="740"/>
      <c r="EJ239" s="740"/>
      <c r="EK239" s="740"/>
      <c r="EL239" s="740"/>
      <c r="EM239" s="740"/>
      <c r="EN239" s="740"/>
      <c r="EO239" s="740"/>
      <c r="EP239" s="740"/>
      <c r="EQ239" s="740"/>
      <c r="ER239" s="740"/>
      <c r="ES239" s="740"/>
      <c r="ET239" s="740"/>
      <c r="EU239" s="740"/>
      <c r="EV239" s="740"/>
      <c r="EW239" s="740"/>
      <c r="EX239" s="740"/>
      <c r="EY239" s="740"/>
      <c r="EZ239" s="740"/>
      <c r="FA239" s="740"/>
      <c r="FB239" s="740"/>
      <c r="FC239" s="740"/>
      <c r="FD239" s="740"/>
      <c r="FE239" s="740"/>
      <c r="FF239" s="740"/>
      <c r="FG239" s="740"/>
      <c r="FH239" s="740"/>
      <c r="FI239" s="740"/>
      <c r="FJ239" s="740"/>
      <c r="FK239" s="740"/>
      <c r="FL239" s="740"/>
      <c r="FM239" s="740"/>
      <c r="FN239" s="740"/>
      <c r="FO239" s="740"/>
      <c r="FP239" s="740"/>
      <c r="FQ239" s="740"/>
      <c r="FR239" s="740"/>
      <c r="FS239" s="740"/>
      <c r="FT239" s="740"/>
      <c r="FU239" s="740"/>
      <c r="FV239" s="740"/>
      <c r="FW239" s="740"/>
      <c r="FX239" s="740"/>
      <c r="FY239" s="740"/>
      <c r="FZ239" s="740"/>
      <c r="GA239" s="740"/>
      <c r="GB239" s="740"/>
      <c r="GC239" s="740"/>
      <c r="GD239" s="740"/>
      <c r="GE239" s="740"/>
      <c r="GF239" s="740"/>
      <c r="GG239" s="740"/>
      <c r="GH239" s="740"/>
      <c r="GI239" s="740"/>
      <c r="GJ239" s="740"/>
      <c r="GK239" s="740"/>
      <c r="GL239" s="740"/>
      <c r="GM239" s="740"/>
      <c r="GN239" s="740"/>
      <c r="GO239" s="740"/>
      <c r="GP239" s="740"/>
      <c r="GQ239" s="740"/>
      <c r="GR239" s="740"/>
      <c r="GS239" s="740"/>
      <c r="GT239" s="740"/>
      <c r="GU239" s="740"/>
      <c r="GV239" s="740"/>
      <c r="GW239" s="740"/>
    </row>
    <row r="240" spans="18:205" ht="24" customHeight="1" x14ac:dyDescent="0.2">
      <c r="R240" s="740"/>
      <c r="S240" s="740"/>
      <c r="T240" s="740"/>
      <c r="U240" s="740"/>
      <c r="V240" s="740"/>
      <c r="W240" s="740"/>
      <c r="X240" s="740"/>
      <c r="Y240" s="740"/>
      <c r="Z240" s="740"/>
      <c r="AA240" s="740"/>
      <c r="AB240" s="740"/>
      <c r="AC240" s="740"/>
      <c r="AD240" s="740"/>
      <c r="AE240" s="740"/>
      <c r="AF240" s="740"/>
      <c r="AG240" s="740"/>
      <c r="AH240" s="740"/>
      <c r="AI240" s="740"/>
      <c r="AJ240" s="740"/>
      <c r="AK240" s="740"/>
      <c r="AL240" s="740"/>
      <c r="AM240" s="740"/>
      <c r="AN240" s="740"/>
      <c r="AO240" s="740"/>
      <c r="AP240" s="740"/>
      <c r="AQ240" s="740"/>
      <c r="AR240" s="740"/>
      <c r="AS240" s="740"/>
      <c r="AT240" s="740"/>
      <c r="AU240" s="740"/>
      <c r="AV240" s="740"/>
      <c r="AW240" s="740"/>
      <c r="AX240" s="740"/>
      <c r="AY240" s="740"/>
      <c r="AZ240" s="740"/>
      <c r="BA240" s="740"/>
      <c r="BB240" s="740"/>
      <c r="BC240" s="740"/>
      <c r="BD240" s="740"/>
      <c r="BE240" s="740"/>
      <c r="BF240" s="740"/>
      <c r="BG240" s="740"/>
      <c r="BH240" s="740"/>
      <c r="BI240" s="740"/>
      <c r="BJ240" s="740"/>
      <c r="BK240" s="740"/>
      <c r="BL240" s="740"/>
      <c r="BM240" s="740"/>
      <c r="BN240" s="740"/>
      <c r="BO240" s="740"/>
      <c r="BP240" s="740"/>
      <c r="BQ240" s="740"/>
      <c r="BR240" s="740"/>
      <c r="BS240" s="740"/>
      <c r="BT240" s="740"/>
      <c r="BU240" s="740"/>
      <c r="BV240" s="740"/>
      <c r="BW240" s="740"/>
      <c r="BX240" s="740"/>
      <c r="BY240" s="740"/>
      <c r="BZ240" s="740"/>
      <c r="CA240" s="740"/>
      <c r="CB240" s="740"/>
      <c r="CC240" s="740"/>
      <c r="CD240" s="740"/>
      <c r="CE240" s="740"/>
      <c r="CF240" s="740"/>
      <c r="CG240" s="740"/>
      <c r="CH240" s="740"/>
      <c r="CI240" s="740"/>
      <c r="CJ240" s="740"/>
      <c r="CK240" s="740"/>
      <c r="CL240" s="740"/>
      <c r="CM240" s="740"/>
      <c r="CN240" s="740"/>
      <c r="CO240" s="740"/>
      <c r="CP240" s="740"/>
      <c r="CQ240" s="740"/>
      <c r="CR240" s="740"/>
      <c r="CS240" s="740"/>
      <c r="CT240" s="740"/>
      <c r="CU240" s="740"/>
      <c r="CV240" s="740"/>
      <c r="CW240" s="740"/>
      <c r="CX240" s="740"/>
      <c r="CY240" s="740"/>
      <c r="CZ240" s="740"/>
      <c r="DA240" s="740"/>
      <c r="DB240" s="740"/>
      <c r="DC240" s="740"/>
      <c r="DD240" s="740"/>
      <c r="DE240" s="740"/>
      <c r="DF240" s="740"/>
      <c r="DG240" s="740"/>
      <c r="DH240" s="740"/>
      <c r="DI240" s="740"/>
      <c r="DJ240" s="740"/>
      <c r="DK240" s="740"/>
      <c r="DL240" s="740"/>
      <c r="DM240" s="740"/>
      <c r="DN240" s="740"/>
      <c r="DO240" s="740"/>
      <c r="DP240" s="740"/>
      <c r="DQ240" s="740"/>
      <c r="DR240" s="740"/>
      <c r="DS240" s="740"/>
      <c r="DT240" s="740"/>
      <c r="DU240" s="740"/>
      <c r="DV240" s="740"/>
      <c r="DW240" s="740"/>
      <c r="DX240" s="740"/>
      <c r="DY240" s="740"/>
      <c r="DZ240" s="740"/>
      <c r="EA240" s="740"/>
      <c r="EB240" s="740"/>
      <c r="EC240" s="740"/>
      <c r="ED240" s="740"/>
      <c r="EE240" s="740"/>
      <c r="EF240" s="740"/>
      <c r="EG240" s="740"/>
      <c r="EH240" s="740"/>
      <c r="EI240" s="740"/>
      <c r="EJ240" s="740"/>
      <c r="EK240" s="740"/>
      <c r="EL240" s="740"/>
      <c r="EM240" s="740"/>
      <c r="EN240" s="740"/>
      <c r="EO240" s="740"/>
      <c r="EP240" s="740"/>
      <c r="EQ240" s="740"/>
      <c r="ER240" s="740"/>
      <c r="ES240" s="740"/>
      <c r="ET240" s="740"/>
      <c r="EU240" s="740"/>
      <c r="EV240" s="740"/>
      <c r="EW240" s="740"/>
      <c r="EX240" s="740"/>
      <c r="EY240" s="740"/>
      <c r="EZ240" s="740"/>
      <c r="FA240" s="740"/>
      <c r="FB240" s="740"/>
      <c r="FC240" s="740"/>
      <c r="FD240" s="740"/>
      <c r="FE240" s="740"/>
      <c r="FF240" s="740"/>
      <c r="FG240" s="740"/>
      <c r="FH240" s="740"/>
      <c r="FI240" s="740"/>
      <c r="FJ240" s="740"/>
      <c r="FK240" s="740"/>
      <c r="FL240" s="740"/>
      <c r="FM240" s="740"/>
      <c r="FN240" s="740"/>
      <c r="FO240" s="740"/>
      <c r="FP240" s="740"/>
      <c r="FQ240" s="740"/>
      <c r="FR240" s="740"/>
      <c r="FS240" s="740"/>
      <c r="FT240" s="740"/>
      <c r="FU240" s="740"/>
      <c r="FV240" s="740"/>
      <c r="FW240" s="740"/>
      <c r="FX240" s="740"/>
      <c r="FY240" s="740"/>
      <c r="FZ240" s="740"/>
      <c r="GA240" s="740"/>
      <c r="GB240" s="740"/>
      <c r="GC240" s="740"/>
      <c r="GD240" s="740"/>
      <c r="GE240" s="740"/>
      <c r="GF240" s="740"/>
      <c r="GG240" s="740"/>
      <c r="GH240" s="740"/>
      <c r="GI240" s="740"/>
      <c r="GJ240" s="740"/>
      <c r="GK240" s="740"/>
      <c r="GL240" s="740"/>
      <c r="GM240" s="740"/>
      <c r="GN240" s="740"/>
      <c r="GO240" s="740"/>
      <c r="GP240" s="740"/>
      <c r="GQ240" s="740"/>
      <c r="GR240" s="740"/>
      <c r="GS240" s="740"/>
      <c r="GT240" s="740"/>
      <c r="GU240" s="740"/>
      <c r="GV240" s="740"/>
      <c r="GW240" s="740"/>
    </row>
    <row r="241" spans="18:205" ht="24" customHeight="1" x14ac:dyDescent="0.2">
      <c r="R241" s="740"/>
      <c r="S241" s="740"/>
      <c r="T241" s="740"/>
      <c r="U241" s="740"/>
      <c r="V241" s="740"/>
      <c r="W241" s="740"/>
      <c r="X241" s="740"/>
      <c r="Y241" s="740"/>
      <c r="Z241" s="740"/>
      <c r="AA241" s="740"/>
      <c r="AB241" s="740"/>
      <c r="AC241" s="740"/>
      <c r="AD241" s="740"/>
      <c r="AE241" s="740"/>
      <c r="AF241" s="740"/>
      <c r="AG241" s="740"/>
      <c r="AH241" s="740"/>
      <c r="AI241" s="740"/>
      <c r="AJ241" s="740"/>
      <c r="AK241" s="740"/>
      <c r="AL241" s="740"/>
      <c r="AM241" s="740"/>
      <c r="AN241" s="740"/>
      <c r="AO241" s="740"/>
      <c r="AP241" s="740"/>
      <c r="AQ241" s="740"/>
      <c r="AR241" s="740"/>
      <c r="AS241" s="740"/>
      <c r="AT241" s="740"/>
      <c r="AU241" s="740"/>
      <c r="AV241" s="740"/>
      <c r="AW241" s="740"/>
      <c r="AX241" s="740"/>
      <c r="AY241" s="740"/>
      <c r="AZ241" s="740"/>
      <c r="BA241" s="740"/>
      <c r="BB241" s="740"/>
      <c r="BC241" s="740"/>
      <c r="BD241" s="740"/>
      <c r="BE241" s="740"/>
      <c r="BF241" s="740"/>
      <c r="BG241" s="740"/>
      <c r="BH241" s="740"/>
      <c r="BI241" s="740"/>
      <c r="BJ241" s="740"/>
      <c r="BK241" s="740"/>
      <c r="BL241" s="740"/>
      <c r="BM241" s="740"/>
      <c r="BN241" s="740"/>
      <c r="BO241" s="740"/>
      <c r="BP241" s="740"/>
      <c r="BQ241" s="740"/>
      <c r="BR241" s="740"/>
      <c r="BS241" s="740"/>
      <c r="BT241" s="740"/>
      <c r="BU241" s="740"/>
      <c r="BV241" s="740"/>
      <c r="BW241" s="740"/>
      <c r="BX241" s="740"/>
      <c r="BY241" s="740"/>
      <c r="BZ241" s="740"/>
      <c r="CA241" s="740"/>
      <c r="CB241" s="740"/>
      <c r="CC241" s="740"/>
      <c r="CD241" s="740"/>
      <c r="CE241" s="740"/>
      <c r="CF241" s="740"/>
      <c r="CG241" s="740"/>
      <c r="CH241" s="740"/>
      <c r="CI241" s="740"/>
      <c r="CJ241" s="740"/>
      <c r="CK241" s="740"/>
      <c r="CL241" s="740"/>
      <c r="CM241" s="740"/>
      <c r="CN241" s="740"/>
      <c r="CO241" s="740"/>
      <c r="CP241" s="740"/>
      <c r="CQ241" s="740"/>
      <c r="CR241" s="740"/>
      <c r="CS241" s="740"/>
      <c r="CT241" s="740"/>
      <c r="CU241" s="740"/>
      <c r="CV241" s="740"/>
      <c r="CW241" s="740"/>
      <c r="CX241" s="740"/>
      <c r="CY241" s="740"/>
      <c r="CZ241" s="740"/>
      <c r="DA241" s="740"/>
      <c r="DB241" s="740"/>
      <c r="DC241" s="740"/>
      <c r="DD241" s="740"/>
      <c r="DE241" s="740"/>
      <c r="DF241" s="740"/>
      <c r="DG241" s="740"/>
      <c r="DH241" s="740"/>
      <c r="DI241" s="740"/>
      <c r="DJ241" s="740"/>
      <c r="DK241" s="740"/>
      <c r="DL241" s="740"/>
      <c r="DM241" s="740"/>
      <c r="DN241" s="740"/>
      <c r="DO241" s="740"/>
      <c r="DP241" s="740"/>
      <c r="DQ241" s="740"/>
      <c r="DR241" s="740"/>
      <c r="DS241" s="740"/>
      <c r="DT241" s="740"/>
      <c r="DU241" s="740"/>
      <c r="DV241" s="740"/>
      <c r="DW241" s="740"/>
      <c r="DX241" s="740"/>
      <c r="DY241" s="740"/>
      <c r="DZ241" s="740"/>
      <c r="EA241" s="740"/>
      <c r="EB241" s="740"/>
      <c r="EC241" s="740"/>
      <c r="ED241" s="740"/>
      <c r="EE241" s="740"/>
      <c r="EF241" s="740"/>
      <c r="EG241" s="740"/>
      <c r="EH241" s="740"/>
      <c r="EI241" s="740"/>
      <c r="EJ241" s="740"/>
      <c r="EK241" s="740"/>
      <c r="EL241" s="740"/>
      <c r="EM241" s="740"/>
      <c r="EN241" s="740"/>
      <c r="EO241" s="740"/>
      <c r="EP241" s="740"/>
      <c r="EQ241" s="740"/>
      <c r="ER241" s="740"/>
      <c r="ES241" s="740"/>
      <c r="ET241" s="740"/>
      <c r="EU241" s="740"/>
      <c r="EV241" s="740"/>
      <c r="EW241" s="740"/>
      <c r="EX241" s="740"/>
      <c r="EY241" s="740"/>
      <c r="EZ241" s="740"/>
      <c r="FA241" s="740"/>
      <c r="FB241" s="740"/>
      <c r="FC241" s="740"/>
      <c r="FD241" s="740"/>
      <c r="FE241" s="740"/>
      <c r="FF241" s="740"/>
      <c r="FG241" s="740"/>
      <c r="FH241" s="740"/>
      <c r="FI241" s="740"/>
      <c r="FJ241" s="740"/>
      <c r="FK241" s="740"/>
      <c r="FL241" s="740"/>
      <c r="FM241" s="740"/>
      <c r="FN241" s="740"/>
      <c r="FO241" s="740"/>
      <c r="FP241" s="740"/>
      <c r="FQ241" s="740"/>
      <c r="FR241" s="740"/>
      <c r="FS241" s="740"/>
      <c r="FT241" s="740"/>
      <c r="FU241" s="740"/>
      <c r="FV241" s="740"/>
      <c r="FW241" s="740"/>
      <c r="FX241" s="740"/>
      <c r="FY241" s="740"/>
      <c r="FZ241" s="740"/>
      <c r="GA241" s="740"/>
      <c r="GB241" s="740"/>
      <c r="GC241" s="740"/>
      <c r="GD241" s="740"/>
      <c r="GE241" s="740"/>
      <c r="GF241" s="740"/>
      <c r="GG241" s="740"/>
      <c r="GH241" s="740"/>
      <c r="GI241" s="740"/>
      <c r="GJ241" s="740"/>
      <c r="GK241" s="740"/>
      <c r="GL241" s="740"/>
      <c r="GM241" s="740"/>
      <c r="GN241" s="740"/>
      <c r="GO241" s="740"/>
      <c r="GP241" s="740"/>
      <c r="GQ241" s="740"/>
      <c r="GR241" s="740"/>
      <c r="GS241" s="740"/>
      <c r="GT241" s="740"/>
      <c r="GU241" s="740"/>
      <c r="GV241" s="740"/>
      <c r="GW241" s="740"/>
    </row>
    <row r="242" spans="18:205" ht="24" customHeight="1" x14ac:dyDescent="0.2">
      <c r="R242" s="740"/>
      <c r="S242" s="740"/>
      <c r="T242" s="740"/>
      <c r="U242" s="740"/>
      <c r="V242" s="740"/>
      <c r="W242" s="740"/>
      <c r="X242" s="740"/>
      <c r="Y242" s="740"/>
      <c r="Z242" s="740"/>
      <c r="AA242" s="740"/>
      <c r="AB242" s="740"/>
      <c r="AC242" s="740"/>
      <c r="AD242" s="740"/>
      <c r="AE242" s="740"/>
      <c r="AF242" s="740"/>
      <c r="AG242" s="740"/>
      <c r="AH242" s="740"/>
      <c r="AI242" s="740"/>
      <c r="AJ242" s="740"/>
      <c r="AK242" s="740"/>
      <c r="AL242" s="740"/>
      <c r="AM242" s="740"/>
      <c r="AN242" s="740"/>
      <c r="AO242" s="740"/>
      <c r="AP242" s="740"/>
      <c r="AQ242" s="740"/>
      <c r="AR242" s="740"/>
      <c r="AS242" s="740"/>
      <c r="AT242" s="740"/>
      <c r="AU242" s="740"/>
      <c r="AV242" s="740"/>
      <c r="AW242" s="740"/>
      <c r="AX242" s="740"/>
      <c r="AY242" s="740"/>
      <c r="AZ242" s="740"/>
      <c r="BA242" s="740"/>
      <c r="BB242" s="740"/>
      <c r="BC242" s="740"/>
      <c r="BD242" s="740"/>
      <c r="BE242" s="740"/>
      <c r="BF242" s="740"/>
      <c r="BG242" s="740"/>
      <c r="BH242" s="740"/>
      <c r="BI242" s="740"/>
      <c r="BJ242" s="740"/>
      <c r="BK242" s="740"/>
      <c r="BL242" s="740"/>
      <c r="BM242" s="740"/>
      <c r="BN242" s="740"/>
      <c r="BO242" s="740"/>
      <c r="BP242" s="740"/>
      <c r="BQ242" s="740"/>
      <c r="BR242" s="740"/>
      <c r="BS242" s="740"/>
      <c r="BT242" s="740"/>
      <c r="BU242" s="740"/>
      <c r="BV242" s="740"/>
      <c r="BW242" s="740"/>
      <c r="BX242" s="740"/>
      <c r="BY242" s="740"/>
      <c r="BZ242" s="740"/>
      <c r="CA242" s="740"/>
      <c r="CB242" s="740"/>
      <c r="CC242" s="740"/>
      <c r="CD242" s="740"/>
      <c r="CE242" s="740"/>
      <c r="CF242" s="740"/>
      <c r="CG242" s="740"/>
      <c r="CH242" s="740"/>
      <c r="CI242" s="740"/>
      <c r="CJ242" s="740"/>
      <c r="CK242" s="740"/>
      <c r="CL242" s="740"/>
      <c r="CM242" s="740"/>
      <c r="CN242" s="740"/>
      <c r="CO242" s="740"/>
      <c r="CP242" s="740"/>
      <c r="CQ242" s="740"/>
      <c r="CR242" s="740"/>
      <c r="CS242" s="740"/>
      <c r="CT242" s="740"/>
      <c r="CU242" s="740"/>
      <c r="CV242" s="740"/>
      <c r="CW242" s="740"/>
      <c r="CX242" s="740"/>
      <c r="CY242" s="740"/>
      <c r="CZ242" s="740"/>
      <c r="DA242" s="740"/>
      <c r="DB242" s="740"/>
      <c r="DC242" s="740"/>
      <c r="DD242" s="740"/>
      <c r="DE242" s="740"/>
      <c r="DF242" s="740"/>
      <c r="DG242" s="740"/>
      <c r="DH242" s="740"/>
      <c r="DI242" s="740"/>
      <c r="DJ242" s="740"/>
      <c r="DK242" s="740"/>
      <c r="DL242" s="740"/>
      <c r="DM242" s="740"/>
      <c r="DN242" s="740"/>
      <c r="DO242" s="740"/>
      <c r="DP242" s="740"/>
      <c r="DQ242" s="740"/>
      <c r="DR242" s="740"/>
      <c r="DS242" s="740"/>
      <c r="DT242" s="740"/>
      <c r="DU242" s="740"/>
      <c r="DV242" s="740"/>
      <c r="DW242" s="740"/>
      <c r="DX242" s="740"/>
      <c r="DY242" s="740"/>
      <c r="DZ242" s="740"/>
      <c r="EA242" s="740"/>
      <c r="EB242" s="740"/>
      <c r="EC242" s="740"/>
      <c r="ED242" s="740"/>
      <c r="EE242" s="740"/>
      <c r="EF242" s="740"/>
      <c r="EG242" s="740"/>
      <c r="EH242" s="740"/>
      <c r="EI242" s="740"/>
      <c r="EJ242" s="740"/>
      <c r="EK242" s="740"/>
      <c r="EL242" s="740"/>
      <c r="EM242" s="740"/>
      <c r="EN242" s="740"/>
      <c r="EO242" s="740"/>
      <c r="EP242" s="740"/>
      <c r="EQ242" s="740"/>
      <c r="ER242" s="740"/>
      <c r="ES242" s="740"/>
      <c r="ET242" s="740"/>
      <c r="EU242" s="740"/>
      <c r="EV242" s="740"/>
      <c r="EW242" s="740"/>
      <c r="EX242" s="740"/>
      <c r="EY242" s="740"/>
      <c r="EZ242" s="740"/>
      <c r="FA242" s="740"/>
      <c r="FB242" s="740"/>
      <c r="FC242" s="740"/>
      <c r="FD242" s="740"/>
      <c r="FE242" s="740"/>
      <c r="FF242" s="740"/>
      <c r="FG242" s="740"/>
      <c r="FH242" s="740"/>
      <c r="FI242" s="740"/>
      <c r="FJ242" s="740"/>
      <c r="FK242" s="740"/>
      <c r="FL242" s="740"/>
      <c r="FM242" s="740"/>
      <c r="FN242" s="740"/>
      <c r="FO242" s="740"/>
      <c r="FP242" s="740"/>
      <c r="FQ242" s="740"/>
      <c r="FR242" s="740"/>
      <c r="FS242" s="740"/>
      <c r="FT242" s="740"/>
      <c r="FU242" s="740"/>
      <c r="FV242" s="740"/>
      <c r="FW242" s="740"/>
      <c r="FX242" s="740"/>
      <c r="FY242" s="740"/>
      <c r="FZ242" s="740"/>
      <c r="GA242" s="740"/>
      <c r="GB242" s="740"/>
      <c r="GC242" s="740"/>
      <c r="GD242" s="740"/>
      <c r="GE242" s="740"/>
      <c r="GF242" s="740"/>
      <c r="GG242" s="740"/>
      <c r="GH242" s="740"/>
      <c r="GI242" s="740"/>
      <c r="GJ242" s="740"/>
      <c r="GK242" s="740"/>
      <c r="GL242" s="740"/>
      <c r="GM242" s="740"/>
      <c r="GN242" s="740"/>
      <c r="GO242" s="740"/>
      <c r="GP242" s="740"/>
      <c r="GQ242" s="740"/>
      <c r="GR242" s="740"/>
      <c r="GS242" s="740"/>
      <c r="GT242" s="740"/>
      <c r="GU242" s="740"/>
      <c r="GV242" s="740"/>
      <c r="GW242" s="740"/>
    </row>
    <row r="243" spans="18:205" ht="24" customHeight="1" x14ac:dyDescent="0.2">
      <c r="R243" s="740"/>
      <c r="S243" s="740"/>
      <c r="T243" s="740"/>
      <c r="U243" s="740"/>
      <c r="V243" s="740"/>
      <c r="W243" s="740"/>
      <c r="X243" s="740"/>
      <c r="Y243" s="740"/>
      <c r="Z243" s="740"/>
      <c r="AA243" s="740"/>
      <c r="AB243" s="740"/>
      <c r="AC243" s="740"/>
      <c r="AD243" s="740"/>
      <c r="AE243" s="740"/>
      <c r="AF243" s="740"/>
      <c r="AG243" s="740"/>
      <c r="AH243" s="740"/>
      <c r="AI243" s="740"/>
      <c r="AJ243" s="740"/>
      <c r="AK243" s="740"/>
      <c r="AL243" s="740"/>
      <c r="AM243" s="740"/>
      <c r="AN243" s="740"/>
      <c r="AO243" s="740"/>
      <c r="AP243" s="740"/>
      <c r="AQ243" s="740"/>
      <c r="AR243" s="740"/>
      <c r="AS243" s="740"/>
      <c r="AT243" s="740"/>
      <c r="AU243" s="740"/>
      <c r="AV243" s="740"/>
      <c r="AW243" s="740"/>
      <c r="AX243" s="740"/>
      <c r="AY243" s="740"/>
      <c r="AZ243" s="740"/>
      <c r="BA243" s="740"/>
      <c r="BB243" s="740"/>
      <c r="BC243" s="740"/>
      <c r="BD243" s="740"/>
      <c r="BE243" s="740"/>
      <c r="BF243" s="740"/>
      <c r="BG243" s="740"/>
      <c r="BH243" s="740"/>
      <c r="BI243" s="740"/>
      <c r="BJ243" s="740"/>
      <c r="BK243" s="740"/>
      <c r="BL243" s="740"/>
      <c r="BM243" s="740"/>
      <c r="BN243" s="740"/>
      <c r="BO243" s="740"/>
      <c r="BP243" s="740"/>
      <c r="BQ243" s="740"/>
      <c r="BR243" s="740"/>
      <c r="BS243" s="740"/>
      <c r="BT243" s="740"/>
      <c r="BU243" s="740"/>
      <c r="BV243" s="740"/>
      <c r="BW243" s="740"/>
      <c r="BX243" s="740"/>
      <c r="BY243" s="740"/>
      <c r="BZ243" s="740"/>
      <c r="CA243" s="740"/>
      <c r="CB243" s="740"/>
      <c r="CC243" s="740"/>
      <c r="CD243" s="740"/>
      <c r="CE243" s="740"/>
      <c r="CF243" s="740"/>
      <c r="CG243" s="740"/>
      <c r="CH243" s="740"/>
      <c r="CI243" s="740"/>
      <c r="CJ243" s="740"/>
      <c r="CK243" s="740"/>
      <c r="CL243" s="740"/>
      <c r="CM243" s="740"/>
      <c r="CN243" s="740"/>
      <c r="CO243" s="740"/>
      <c r="CP243" s="740"/>
      <c r="CQ243" s="740"/>
      <c r="CR243" s="740"/>
      <c r="CS243" s="740"/>
      <c r="CT243" s="740"/>
      <c r="CU243" s="740"/>
      <c r="CV243" s="740"/>
      <c r="CW243" s="740"/>
      <c r="CX243" s="740"/>
      <c r="CY243" s="740"/>
      <c r="CZ243" s="740"/>
      <c r="DA243" s="740"/>
      <c r="DB243" s="740"/>
      <c r="DC243" s="740"/>
      <c r="DD243" s="740"/>
      <c r="DE243" s="740"/>
      <c r="DF243" s="740"/>
      <c r="DG243" s="740"/>
      <c r="DH243" s="740"/>
      <c r="DI243" s="740"/>
      <c r="DJ243" s="740"/>
      <c r="DK243" s="740"/>
      <c r="DL243" s="740"/>
      <c r="DM243" s="740"/>
      <c r="DN243" s="740"/>
      <c r="DO243" s="740"/>
      <c r="DP243" s="740"/>
      <c r="DQ243" s="740"/>
      <c r="DR243" s="740"/>
      <c r="DS243" s="740"/>
      <c r="DT243" s="740"/>
      <c r="DU243" s="740"/>
      <c r="DV243" s="740"/>
      <c r="DW243" s="740"/>
      <c r="DX243" s="740"/>
      <c r="DY243" s="740"/>
      <c r="DZ243" s="740"/>
      <c r="EA243" s="740"/>
      <c r="EB243" s="740"/>
      <c r="EC243" s="740"/>
      <c r="ED243" s="740"/>
      <c r="EE243" s="740"/>
      <c r="EF243" s="740"/>
      <c r="EG243" s="740"/>
      <c r="EH243" s="740"/>
      <c r="EI243" s="740"/>
      <c r="EJ243" s="740"/>
      <c r="EK243" s="740"/>
      <c r="EL243" s="740"/>
      <c r="EM243" s="740"/>
      <c r="EN243" s="740"/>
      <c r="EO243" s="740"/>
      <c r="EP243" s="740"/>
      <c r="EQ243" s="740"/>
      <c r="ER243" s="740"/>
      <c r="ES243" s="740"/>
      <c r="ET243" s="740"/>
      <c r="EU243" s="740"/>
      <c r="EV243" s="740"/>
      <c r="EW243" s="740"/>
      <c r="EX243" s="740"/>
      <c r="EY243" s="740"/>
      <c r="EZ243" s="740"/>
      <c r="FA243" s="740"/>
      <c r="FB243" s="740"/>
      <c r="FC243" s="740"/>
      <c r="FD243" s="740"/>
      <c r="FE243" s="740"/>
      <c r="FF243" s="740"/>
      <c r="FG243" s="740"/>
      <c r="FH243" s="740"/>
      <c r="FI243" s="740"/>
      <c r="FJ243" s="740"/>
      <c r="FK243" s="740"/>
      <c r="FL243" s="740"/>
      <c r="FM243" s="740"/>
      <c r="FN243" s="740"/>
      <c r="FO243" s="740"/>
      <c r="FP243" s="740"/>
      <c r="FQ243" s="740"/>
      <c r="FR243" s="740"/>
      <c r="FS243" s="740"/>
      <c r="FT243" s="740"/>
      <c r="FU243" s="740"/>
      <c r="FV243" s="740"/>
      <c r="FW243" s="740"/>
      <c r="FX243" s="740"/>
      <c r="FY243" s="740"/>
      <c r="FZ243" s="740"/>
      <c r="GA243" s="740"/>
      <c r="GB243" s="740"/>
      <c r="GC243" s="740"/>
      <c r="GD243" s="740"/>
      <c r="GE243" s="740"/>
      <c r="GF243" s="740"/>
      <c r="GG243" s="740"/>
      <c r="GH243" s="740"/>
      <c r="GI243" s="740"/>
      <c r="GJ243" s="740"/>
      <c r="GK243" s="740"/>
      <c r="GL243" s="740"/>
      <c r="GM243" s="740"/>
      <c r="GN243" s="740"/>
      <c r="GO243" s="740"/>
      <c r="GP243" s="740"/>
      <c r="GQ243" s="740"/>
      <c r="GR243" s="740"/>
      <c r="GS243" s="740"/>
      <c r="GT243" s="740"/>
      <c r="GU243" s="740"/>
      <c r="GV243" s="740"/>
      <c r="GW243" s="740"/>
    </row>
    <row r="244" spans="18:205" ht="24" customHeight="1" x14ac:dyDescent="0.2">
      <c r="R244" s="740"/>
      <c r="S244" s="740"/>
      <c r="T244" s="740"/>
      <c r="U244" s="740"/>
      <c r="V244" s="740"/>
      <c r="W244" s="740"/>
      <c r="X244" s="740"/>
      <c r="Y244" s="740"/>
      <c r="Z244" s="740"/>
      <c r="AA244" s="740"/>
      <c r="AB244" s="740"/>
      <c r="AC244" s="740"/>
      <c r="AD244" s="740"/>
      <c r="AE244" s="740"/>
      <c r="AF244" s="740"/>
      <c r="AG244" s="740"/>
      <c r="AH244" s="740"/>
      <c r="AI244" s="740"/>
      <c r="AJ244" s="740"/>
      <c r="AK244" s="740"/>
      <c r="AL244" s="740"/>
      <c r="AM244" s="740"/>
      <c r="AN244" s="740"/>
      <c r="AO244" s="740"/>
      <c r="AP244" s="740"/>
      <c r="AQ244" s="740"/>
      <c r="AR244" s="740"/>
      <c r="AS244" s="740"/>
      <c r="AT244" s="740"/>
      <c r="AU244" s="740"/>
      <c r="AV244" s="740"/>
      <c r="AW244" s="740"/>
      <c r="AX244" s="740"/>
      <c r="AY244" s="740"/>
      <c r="AZ244" s="740"/>
      <c r="BA244" s="740"/>
      <c r="BB244" s="740"/>
      <c r="BC244" s="740"/>
      <c r="BD244" s="740"/>
      <c r="BE244" s="740"/>
      <c r="BF244" s="740"/>
      <c r="BG244" s="740"/>
      <c r="BH244" s="740"/>
      <c r="BI244" s="740"/>
      <c r="BJ244" s="740"/>
      <c r="BK244" s="740"/>
      <c r="BL244" s="740"/>
      <c r="BM244" s="740"/>
      <c r="BN244" s="740"/>
      <c r="BO244" s="740"/>
      <c r="BP244" s="740"/>
      <c r="BQ244" s="740"/>
      <c r="BR244" s="740"/>
      <c r="BS244" s="740"/>
      <c r="BT244" s="740"/>
      <c r="BU244" s="740"/>
      <c r="BV244" s="740"/>
      <c r="BW244" s="740"/>
      <c r="BX244" s="740"/>
      <c r="BY244" s="740"/>
      <c r="BZ244" s="740"/>
      <c r="CA244" s="740"/>
      <c r="CB244" s="740"/>
      <c r="CC244" s="740"/>
      <c r="CD244" s="740"/>
      <c r="CE244" s="740"/>
      <c r="CF244" s="740"/>
      <c r="CG244" s="740"/>
      <c r="CH244" s="740"/>
      <c r="CI244" s="740"/>
      <c r="CJ244" s="740"/>
      <c r="CK244" s="740"/>
      <c r="CL244" s="740"/>
      <c r="CM244" s="740"/>
      <c r="CN244" s="740"/>
      <c r="CO244" s="740"/>
      <c r="CP244" s="740"/>
      <c r="CQ244" s="740"/>
      <c r="CR244" s="740"/>
      <c r="CS244" s="740"/>
      <c r="CT244" s="740"/>
      <c r="CU244" s="740"/>
      <c r="CV244" s="740"/>
      <c r="CW244" s="740"/>
      <c r="CX244" s="740"/>
      <c r="CY244" s="740"/>
      <c r="CZ244" s="740"/>
      <c r="DA244" s="740"/>
      <c r="DB244" s="740"/>
      <c r="DC244" s="740"/>
      <c r="DD244" s="740"/>
      <c r="DE244" s="740"/>
      <c r="DF244" s="740"/>
      <c r="DG244" s="740"/>
      <c r="DH244" s="740"/>
      <c r="DI244" s="740"/>
      <c r="DJ244" s="740"/>
      <c r="DK244" s="740"/>
      <c r="DL244" s="740"/>
      <c r="DM244" s="740"/>
      <c r="DN244" s="740"/>
      <c r="DO244" s="740"/>
      <c r="DP244" s="740"/>
      <c r="DQ244" s="740"/>
      <c r="DR244" s="740"/>
      <c r="DS244" s="740"/>
      <c r="DT244" s="740"/>
      <c r="DU244" s="740"/>
      <c r="DV244" s="740"/>
      <c r="DW244" s="740"/>
      <c r="DX244" s="740"/>
      <c r="DY244" s="740"/>
      <c r="DZ244" s="740"/>
      <c r="EA244" s="740"/>
      <c r="EB244" s="740"/>
      <c r="EC244" s="740"/>
      <c r="ED244" s="740"/>
      <c r="EE244" s="740"/>
      <c r="EF244" s="740"/>
      <c r="EG244" s="740"/>
      <c r="EH244" s="740"/>
      <c r="EI244" s="740"/>
      <c r="EJ244" s="740"/>
      <c r="EK244" s="740"/>
      <c r="EL244" s="740"/>
      <c r="EM244" s="740"/>
      <c r="EN244" s="740"/>
      <c r="EO244" s="740"/>
      <c r="EP244" s="740"/>
      <c r="EQ244" s="740"/>
      <c r="ER244" s="740"/>
      <c r="ES244" s="740"/>
      <c r="ET244" s="740"/>
      <c r="EU244" s="740"/>
      <c r="EV244" s="740"/>
      <c r="EW244" s="740"/>
      <c r="EX244" s="740"/>
      <c r="EY244" s="740"/>
      <c r="EZ244" s="740"/>
      <c r="FA244" s="740"/>
      <c r="FB244" s="740"/>
      <c r="FC244" s="740"/>
      <c r="FD244" s="740"/>
      <c r="FE244" s="740"/>
      <c r="FF244" s="740"/>
      <c r="FG244" s="740"/>
      <c r="FH244" s="740"/>
      <c r="FI244" s="740"/>
      <c r="FJ244" s="740"/>
      <c r="FK244" s="740"/>
      <c r="FL244" s="740"/>
      <c r="FM244" s="740"/>
      <c r="FN244" s="740"/>
      <c r="FO244" s="740"/>
      <c r="FP244" s="740"/>
      <c r="FQ244" s="740"/>
      <c r="FR244" s="740"/>
      <c r="FS244" s="740"/>
      <c r="FT244" s="740"/>
      <c r="FU244" s="740"/>
      <c r="FV244" s="740"/>
      <c r="FW244" s="740"/>
      <c r="FX244" s="740"/>
      <c r="FY244" s="740"/>
      <c r="FZ244" s="740"/>
      <c r="GA244" s="740"/>
      <c r="GB244" s="740"/>
      <c r="GC244" s="740"/>
      <c r="GD244" s="740"/>
      <c r="GE244" s="740"/>
      <c r="GF244" s="740"/>
      <c r="GG244" s="740"/>
      <c r="GH244" s="740"/>
      <c r="GI244" s="740"/>
      <c r="GJ244" s="740"/>
      <c r="GK244" s="740"/>
      <c r="GL244" s="740"/>
      <c r="GM244" s="740"/>
      <c r="GN244" s="740"/>
      <c r="GO244" s="740"/>
      <c r="GP244" s="740"/>
      <c r="GQ244" s="740"/>
      <c r="GR244" s="740"/>
      <c r="GS244" s="740"/>
      <c r="GT244" s="740"/>
      <c r="GU244" s="740"/>
      <c r="GV244" s="740"/>
      <c r="GW244" s="740"/>
    </row>
    <row r="245" spans="18:205" ht="24" customHeight="1" x14ac:dyDescent="0.2">
      <c r="R245" s="740"/>
      <c r="S245" s="740"/>
      <c r="T245" s="740"/>
      <c r="U245" s="740"/>
      <c r="V245" s="740"/>
      <c r="W245" s="740"/>
      <c r="X245" s="740"/>
      <c r="Y245" s="740"/>
      <c r="Z245" s="740"/>
      <c r="AA245" s="740"/>
      <c r="AB245" s="740"/>
      <c r="AC245" s="740"/>
      <c r="AD245" s="740"/>
      <c r="AE245" s="740"/>
      <c r="AF245" s="740"/>
      <c r="AG245" s="740"/>
      <c r="AH245" s="740"/>
      <c r="AI245" s="740"/>
      <c r="AJ245" s="740"/>
      <c r="AK245" s="740"/>
      <c r="AL245" s="740"/>
      <c r="AM245" s="740"/>
      <c r="AN245" s="740"/>
      <c r="AO245" s="740"/>
      <c r="AP245" s="740"/>
      <c r="AQ245" s="740"/>
      <c r="AR245" s="740"/>
      <c r="AS245" s="740"/>
      <c r="AT245" s="740"/>
      <c r="AU245" s="740"/>
      <c r="AV245" s="740"/>
      <c r="AW245" s="740"/>
      <c r="AX245" s="740"/>
      <c r="AY245" s="740"/>
      <c r="AZ245" s="740"/>
      <c r="BA245" s="740"/>
      <c r="BB245" s="740"/>
      <c r="BC245" s="740"/>
      <c r="BD245" s="740"/>
      <c r="BE245" s="740"/>
      <c r="BF245" s="740"/>
      <c r="BG245" s="740"/>
      <c r="BH245" s="740"/>
      <c r="BI245" s="740"/>
      <c r="BJ245" s="740"/>
      <c r="BK245" s="740"/>
      <c r="BL245" s="740"/>
      <c r="BM245" s="740"/>
      <c r="BN245" s="740"/>
      <c r="BO245" s="740"/>
      <c r="BP245" s="740"/>
      <c r="BQ245" s="740"/>
      <c r="BR245" s="740"/>
      <c r="BS245" s="740"/>
      <c r="BT245" s="740"/>
      <c r="BU245" s="740"/>
      <c r="BV245" s="740"/>
      <c r="BW245" s="740"/>
      <c r="BX245" s="740"/>
      <c r="BY245" s="740"/>
      <c r="BZ245" s="740"/>
      <c r="CA245" s="740"/>
      <c r="CB245" s="740"/>
      <c r="CC245" s="740"/>
      <c r="CD245" s="740"/>
      <c r="CE245" s="740"/>
      <c r="CF245" s="740"/>
      <c r="CG245" s="740"/>
      <c r="CH245" s="740"/>
      <c r="CI245" s="740"/>
      <c r="CJ245" s="740"/>
      <c r="CK245" s="740"/>
      <c r="CL245" s="740"/>
      <c r="CM245" s="740"/>
      <c r="CN245" s="740"/>
      <c r="CO245" s="740"/>
      <c r="CP245" s="740"/>
      <c r="CQ245" s="740"/>
      <c r="CR245" s="740"/>
      <c r="CS245" s="740"/>
      <c r="CT245" s="740"/>
      <c r="CU245" s="740"/>
      <c r="CV245" s="740"/>
      <c r="CW245" s="740"/>
      <c r="CX245" s="740"/>
      <c r="CY245" s="740"/>
      <c r="CZ245" s="740"/>
      <c r="DA245" s="740"/>
      <c r="DB245" s="740"/>
      <c r="DC245" s="740"/>
      <c r="DD245" s="740"/>
      <c r="DE245" s="740"/>
      <c r="DF245" s="740"/>
      <c r="DG245" s="740"/>
      <c r="DH245" s="740"/>
      <c r="DI245" s="740"/>
      <c r="DJ245" s="740"/>
      <c r="DK245" s="740"/>
      <c r="DL245" s="740"/>
      <c r="DM245" s="740"/>
      <c r="DN245" s="740"/>
      <c r="DO245" s="740"/>
      <c r="DP245" s="740"/>
      <c r="DQ245" s="740"/>
      <c r="DR245" s="740"/>
      <c r="DS245" s="740"/>
      <c r="DT245" s="740"/>
      <c r="DU245" s="740"/>
      <c r="DV245" s="740"/>
      <c r="DW245" s="740"/>
      <c r="DX245" s="740"/>
      <c r="DY245" s="740"/>
      <c r="DZ245" s="740"/>
      <c r="EA245" s="740"/>
      <c r="EB245" s="740"/>
      <c r="EC245" s="740"/>
      <c r="ED245" s="740"/>
      <c r="EE245" s="740"/>
      <c r="EF245" s="740"/>
      <c r="EG245" s="740"/>
      <c r="EH245" s="740"/>
      <c r="EI245" s="740"/>
      <c r="EJ245" s="740"/>
      <c r="EK245" s="740"/>
      <c r="EL245" s="740"/>
      <c r="EM245" s="740"/>
      <c r="EN245" s="740"/>
      <c r="EO245" s="740"/>
      <c r="EP245" s="740"/>
      <c r="EQ245" s="740"/>
      <c r="ER245" s="740"/>
      <c r="ES245" s="740"/>
      <c r="ET245" s="740"/>
      <c r="EU245" s="740"/>
      <c r="EV245" s="740"/>
      <c r="EW245" s="740"/>
      <c r="EX245" s="740"/>
      <c r="EY245" s="740"/>
      <c r="EZ245" s="740"/>
      <c r="FA245" s="740"/>
      <c r="FB245" s="740"/>
      <c r="FC245" s="740"/>
      <c r="FD245" s="740"/>
      <c r="FE245" s="740"/>
      <c r="FF245" s="740"/>
      <c r="FG245" s="740"/>
      <c r="FH245" s="740"/>
      <c r="FI245" s="740"/>
      <c r="FJ245" s="740"/>
      <c r="FK245" s="740"/>
      <c r="FL245" s="740"/>
      <c r="FM245" s="740"/>
      <c r="FN245" s="740"/>
      <c r="FO245" s="740"/>
      <c r="FP245" s="740"/>
      <c r="FQ245" s="740"/>
      <c r="FR245" s="740"/>
      <c r="FS245" s="740"/>
      <c r="FT245" s="740"/>
      <c r="FU245" s="740"/>
      <c r="FV245" s="740"/>
      <c r="FW245" s="740"/>
      <c r="FX245" s="740"/>
      <c r="FY245" s="740"/>
      <c r="FZ245" s="740"/>
      <c r="GA245" s="740"/>
      <c r="GB245" s="740"/>
      <c r="GC245" s="740"/>
      <c r="GD245" s="740"/>
      <c r="GE245" s="740"/>
      <c r="GF245" s="740"/>
      <c r="GG245" s="740"/>
      <c r="GH245" s="740"/>
      <c r="GI245" s="740"/>
      <c r="GJ245" s="740"/>
      <c r="GK245" s="740"/>
      <c r="GL245" s="740"/>
      <c r="GM245" s="740"/>
      <c r="GN245" s="740"/>
      <c r="GO245" s="740"/>
      <c r="GP245" s="740"/>
      <c r="GQ245" s="740"/>
      <c r="GR245" s="740"/>
      <c r="GS245" s="740"/>
      <c r="GT245" s="740"/>
      <c r="GU245" s="740"/>
      <c r="GV245" s="740"/>
      <c r="GW245" s="740"/>
    </row>
    <row r="246" spans="18:205" ht="24" customHeight="1" x14ac:dyDescent="0.2">
      <c r="R246" s="740"/>
      <c r="S246" s="740"/>
      <c r="T246" s="740"/>
      <c r="U246" s="740"/>
      <c r="V246" s="740"/>
      <c r="W246" s="740"/>
      <c r="X246" s="740"/>
      <c r="Y246" s="740"/>
      <c r="Z246" s="740"/>
      <c r="AA246" s="740"/>
      <c r="AB246" s="740"/>
      <c r="AC246" s="740"/>
      <c r="AD246" s="740"/>
      <c r="AE246" s="740"/>
      <c r="AF246" s="740"/>
      <c r="AG246" s="740"/>
      <c r="AH246" s="740"/>
      <c r="AI246" s="740"/>
      <c r="AJ246" s="740"/>
      <c r="AK246" s="740"/>
      <c r="AL246" s="740"/>
      <c r="AM246" s="740"/>
      <c r="AN246" s="740"/>
      <c r="AO246" s="740"/>
      <c r="AP246" s="740"/>
      <c r="AQ246" s="740"/>
      <c r="AR246" s="740"/>
      <c r="AS246" s="740"/>
      <c r="AT246" s="740"/>
      <c r="AU246" s="740"/>
      <c r="AV246" s="740"/>
      <c r="AW246" s="740"/>
      <c r="AX246" s="740"/>
      <c r="AY246" s="740"/>
      <c r="AZ246" s="740"/>
      <c r="BA246" s="740"/>
      <c r="BB246" s="740"/>
      <c r="BC246" s="740"/>
      <c r="BD246" s="740"/>
      <c r="BE246" s="740"/>
      <c r="BF246" s="740"/>
      <c r="BG246" s="740"/>
      <c r="BH246" s="740"/>
      <c r="BI246" s="740"/>
      <c r="BJ246" s="740"/>
      <c r="BK246" s="740"/>
      <c r="BL246" s="740"/>
      <c r="BM246" s="740"/>
      <c r="BN246" s="740"/>
      <c r="BO246" s="740"/>
      <c r="BP246" s="740"/>
      <c r="BQ246" s="740"/>
      <c r="BR246" s="740"/>
      <c r="BS246" s="740"/>
      <c r="BT246" s="740"/>
      <c r="BU246" s="740"/>
      <c r="BV246" s="740"/>
      <c r="BW246" s="740"/>
      <c r="BX246" s="740"/>
      <c r="BY246" s="740"/>
      <c r="BZ246" s="740"/>
      <c r="CA246" s="740"/>
      <c r="CB246" s="740"/>
      <c r="CC246" s="740"/>
      <c r="CD246" s="740"/>
      <c r="CE246" s="740"/>
      <c r="CF246" s="740"/>
      <c r="CG246" s="740"/>
      <c r="CH246" s="740"/>
      <c r="CI246" s="740"/>
      <c r="CJ246" s="740"/>
      <c r="CK246" s="740"/>
      <c r="CL246" s="740"/>
      <c r="CM246" s="740"/>
      <c r="CN246" s="740"/>
      <c r="CO246" s="740"/>
      <c r="CP246" s="740"/>
      <c r="CQ246" s="740"/>
      <c r="CR246" s="740"/>
      <c r="CS246" s="740"/>
      <c r="CT246" s="740"/>
      <c r="CU246" s="740"/>
      <c r="CV246" s="740"/>
      <c r="CW246" s="740"/>
      <c r="CX246" s="740"/>
      <c r="CY246" s="740"/>
      <c r="CZ246" s="740"/>
      <c r="DA246" s="740"/>
      <c r="DB246" s="740"/>
      <c r="DC246" s="740"/>
      <c r="DD246" s="740"/>
      <c r="DE246" s="740"/>
      <c r="DF246" s="740"/>
      <c r="DG246" s="740"/>
      <c r="DH246" s="740"/>
      <c r="DI246" s="740"/>
      <c r="DJ246" s="740"/>
      <c r="DK246" s="740"/>
      <c r="DL246" s="740"/>
      <c r="DM246" s="740"/>
      <c r="DN246" s="740"/>
      <c r="DO246" s="740"/>
      <c r="DP246" s="740"/>
      <c r="DQ246" s="740"/>
      <c r="DR246" s="740"/>
      <c r="DS246" s="740"/>
      <c r="DT246" s="740"/>
      <c r="DU246" s="740"/>
      <c r="DV246" s="740"/>
      <c r="DW246" s="740"/>
      <c r="DX246" s="740"/>
      <c r="DY246" s="740"/>
      <c r="DZ246" s="740"/>
      <c r="EA246" s="740"/>
      <c r="EB246" s="740"/>
      <c r="EC246" s="740"/>
      <c r="ED246" s="740"/>
      <c r="EE246" s="740"/>
      <c r="EF246" s="740"/>
      <c r="EG246" s="740"/>
      <c r="EH246" s="740"/>
      <c r="EI246" s="740"/>
      <c r="EJ246" s="740"/>
      <c r="EK246" s="740"/>
      <c r="EL246" s="740"/>
      <c r="EM246" s="740"/>
      <c r="EN246" s="740"/>
      <c r="EO246" s="740"/>
      <c r="EP246" s="740"/>
      <c r="EQ246" s="740"/>
      <c r="ER246" s="740"/>
      <c r="ES246" s="740"/>
      <c r="ET246" s="740"/>
      <c r="EU246" s="740"/>
      <c r="EV246" s="740"/>
      <c r="EW246" s="740"/>
      <c r="EX246" s="740"/>
      <c r="EY246" s="740"/>
      <c r="EZ246" s="740"/>
      <c r="FA246" s="740"/>
      <c r="FB246" s="740"/>
      <c r="FC246" s="740"/>
      <c r="FD246" s="740"/>
      <c r="FE246" s="740"/>
      <c r="FF246" s="740"/>
      <c r="FG246" s="740"/>
      <c r="FH246" s="740"/>
      <c r="FI246" s="740"/>
      <c r="FJ246" s="740"/>
      <c r="FK246" s="740"/>
      <c r="FL246" s="740"/>
      <c r="FM246" s="740"/>
      <c r="FN246" s="740"/>
      <c r="FO246" s="740"/>
      <c r="FP246" s="740"/>
      <c r="FQ246" s="740"/>
      <c r="FR246" s="740"/>
      <c r="FS246" s="740"/>
      <c r="FT246" s="740"/>
      <c r="FU246" s="740"/>
      <c r="FV246" s="740"/>
      <c r="FW246" s="740"/>
      <c r="FX246" s="740"/>
      <c r="FY246" s="740"/>
      <c r="FZ246" s="740"/>
      <c r="GA246" s="740"/>
      <c r="GB246" s="740"/>
      <c r="GC246" s="740"/>
      <c r="GD246" s="740"/>
      <c r="GE246" s="740"/>
      <c r="GF246" s="740"/>
      <c r="GG246" s="740"/>
      <c r="GH246" s="740"/>
      <c r="GI246" s="740"/>
      <c r="GJ246" s="740"/>
      <c r="GK246" s="740"/>
      <c r="GL246" s="740"/>
      <c r="GM246" s="740"/>
      <c r="GN246" s="740"/>
      <c r="GO246" s="740"/>
      <c r="GP246" s="740"/>
      <c r="GQ246" s="740"/>
      <c r="GR246" s="740"/>
      <c r="GS246" s="740"/>
      <c r="GT246" s="740"/>
      <c r="GU246" s="740"/>
      <c r="GV246" s="740"/>
      <c r="GW246" s="740"/>
    </row>
    <row r="247" spans="18:205" ht="24" customHeight="1" x14ac:dyDescent="0.2">
      <c r="R247" s="740"/>
      <c r="S247" s="740"/>
      <c r="T247" s="740"/>
      <c r="U247" s="740"/>
      <c r="V247" s="740"/>
      <c r="W247" s="740"/>
      <c r="X247" s="740"/>
      <c r="Y247" s="740"/>
      <c r="Z247" s="740"/>
      <c r="AA247" s="740"/>
      <c r="AB247" s="740"/>
      <c r="AC247" s="740"/>
      <c r="AD247" s="740"/>
      <c r="AE247" s="740"/>
      <c r="AF247" s="740"/>
      <c r="AG247" s="740"/>
      <c r="AH247" s="740"/>
      <c r="AI247" s="740"/>
      <c r="AJ247" s="740"/>
      <c r="AK247" s="740"/>
      <c r="AL247" s="740"/>
      <c r="AM247" s="740"/>
      <c r="AN247" s="740"/>
      <c r="AO247" s="740"/>
      <c r="AP247" s="740"/>
      <c r="AQ247" s="740"/>
      <c r="AR247" s="740"/>
      <c r="AS247" s="740"/>
      <c r="AT247" s="740"/>
      <c r="AU247" s="740"/>
      <c r="AV247" s="740"/>
      <c r="AW247" s="740"/>
      <c r="AX247" s="740"/>
      <c r="AY247" s="740"/>
      <c r="AZ247" s="740"/>
      <c r="BA247" s="740"/>
      <c r="BB247" s="740"/>
      <c r="BC247" s="740"/>
      <c r="BD247" s="740"/>
      <c r="BE247" s="740"/>
      <c r="BF247" s="740"/>
      <c r="BG247" s="740"/>
      <c r="BH247" s="740"/>
      <c r="BI247" s="740"/>
      <c r="BJ247" s="740"/>
      <c r="BK247" s="740"/>
      <c r="BL247" s="740"/>
      <c r="BM247" s="740"/>
      <c r="BN247" s="740"/>
      <c r="BO247" s="740"/>
      <c r="BP247" s="740"/>
      <c r="BQ247" s="740"/>
      <c r="BR247" s="740"/>
      <c r="BS247" s="740"/>
      <c r="BT247" s="740"/>
      <c r="BU247" s="740"/>
      <c r="BV247" s="740"/>
      <c r="BW247" s="740"/>
      <c r="BX247" s="740"/>
      <c r="BY247" s="740"/>
      <c r="BZ247" s="740"/>
      <c r="CA247" s="740"/>
      <c r="CB247" s="740"/>
      <c r="CC247" s="740"/>
      <c r="CD247" s="740"/>
      <c r="CE247" s="740"/>
      <c r="CF247" s="740"/>
      <c r="CG247" s="740"/>
      <c r="CH247" s="740"/>
      <c r="CI247" s="740"/>
      <c r="CJ247" s="740"/>
      <c r="CK247" s="740"/>
      <c r="CL247" s="740"/>
      <c r="CM247" s="740"/>
      <c r="CN247" s="740"/>
      <c r="CO247" s="740"/>
      <c r="CP247" s="740"/>
      <c r="CQ247" s="740"/>
      <c r="CR247" s="740"/>
      <c r="CS247" s="740"/>
      <c r="CT247" s="740"/>
      <c r="CU247" s="740"/>
      <c r="CV247" s="740"/>
      <c r="CW247" s="740"/>
      <c r="CX247" s="740"/>
      <c r="CY247" s="740"/>
      <c r="CZ247" s="740"/>
      <c r="DA247" s="740"/>
      <c r="DB247" s="740"/>
      <c r="DC247" s="740"/>
      <c r="DD247" s="740"/>
      <c r="DE247" s="740"/>
      <c r="DF247" s="740"/>
      <c r="DG247" s="740"/>
      <c r="DH247" s="740"/>
      <c r="DI247" s="740"/>
      <c r="DJ247" s="740"/>
      <c r="DK247" s="740"/>
      <c r="DL247" s="740"/>
      <c r="DM247" s="740"/>
      <c r="DN247" s="740"/>
      <c r="DO247" s="740"/>
      <c r="DP247" s="740"/>
      <c r="DQ247" s="740"/>
      <c r="DR247" s="740"/>
      <c r="DS247" s="740"/>
      <c r="DT247" s="740"/>
      <c r="DU247" s="740"/>
      <c r="DV247" s="740"/>
      <c r="DW247" s="740"/>
      <c r="DX247" s="740"/>
      <c r="DY247" s="740"/>
      <c r="DZ247" s="740"/>
      <c r="EA247" s="740"/>
      <c r="EB247" s="740"/>
      <c r="EC247" s="740"/>
      <c r="ED247" s="740"/>
      <c r="EE247" s="740"/>
      <c r="EF247" s="740"/>
      <c r="EG247" s="740"/>
      <c r="EH247" s="740"/>
      <c r="EI247" s="740"/>
      <c r="EJ247" s="740"/>
      <c r="EK247" s="740"/>
      <c r="EL247" s="740"/>
      <c r="EM247" s="740"/>
      <c r="EN247" s="740"/>
      <c r="EO247" s="740"/>
      <c r="EP247" s="740"/>
      <c r="EQ247" s="740"/>
      <c r="ER247" s="740"/>
      <c r="ES247" s="740"/>
      <c r="ET247" s="740"/>
      <c r="EU247" s="740"/>
      <c r="EV247" s="740"/>
      <c r="EW247" s="740"/>
      <c r="EX247" s="740"/>
      <c r="EY247" s="740"/>
      <c r="EZ247" s="740"/>
      <c r="FA247" s="740"/>
      <c r="FB247" s="740"/>
      <c r="FC247" s="740"/>
      <c r="FD247" s="740"/>
      <c r="FE247" s="740"/>
      <c r="FF247" s="740"/>
      <c r="FG247" s="740"/>
      <c r="FH247" s="740"/>
      <c r="FI247" s="740"/>
      <c r="FJ247" s="740"/>
      <c r="FK247" s="740"/>
      <c r="FL247" s="740"/>
      <c r="FM247" s="740"/>
      <c r="FN247" s="740"/>
      <c r="FO247" s="740"/>
      <c r="FP247" s="740"/>
      <c r="FQ247" s="740"/>
      <c r="FR247" s="740"/>
      <c r="FS247" s="740"/>
      <c r="FT247" s="740"/>
      <c r="FU247" s="740"/>
      <c r="FV247" s="740"/>
      <c r="FW247" s="740"/>
      <c r="FX247" s="740"/>
      <c r="FY247" s="740"/>
      <c r="FZ247" s="740"/>
      <c r="GA247" s="740"/>
      <c r="GB247" s="740"/>
      <c r="GC247" s="740"/>
      <c r="GD247" s="740"/>
      <c r="GE247" s="740"/>
      <c r="GF247" s="740"/>
      <c r="GG247" s="740"/>
      <c r="GH247" s="740"/>
      <c r="GI247" s="740"/>
      <c r="GJ247" s="740"/>
      <c r="GK247" s="740"/>
      <c r="GL247" s="740"/>
      <c r="GM247" s="740"/>
      <c r="GN247" s="740"/>
      <c r="GO247" s="740"/>
      <c r="GP247" s="740"/>
      <c r="GQ247" s="740"/>
      <c r="GR247" s="740"/>
      <c r="GS247" s="740"/>
      <c r="GT247" s="740"/>
      <c r="GU247" s="740"/>
      <c r="GV247" s="740"/>
      <c r="GW247" s="740"/>
    </row>
    <row r="248" spans="18:205" ht="24" customHeight="1" x14ac:dyDescent="0.2">
      <c r="R248" s="740"/>
      <c r="S248" s="740"/>
      <c r="T248" s="740"/>
      <c r="U248" s="740"/>
      <c r="V248" s="740"/>
      <c r="W248" s="740"/>
      <c r="X248" s="740"/>
      <c r="Y248" s="740"/>
      <c r="Z248" s="740"/>
      <c r="AA248" s="740"/>
      <c r="AB248" s="740"/>
      <c r="AC248" s="740"/>
      <c r="AD248" s="740"/>
      <c r="AE248" s="740"/>
      <c r="AF248" s="740"/>
      <c r="AG248" s="740"/>
      <c r="AH248" s="740"/>
      <c r="AI248" s="740"/>
      <c r="AJ248" s="740"/>
      <c r="AK248" s="740"/>
      <c r="AL248" s="740"/>
      <c r="AM248" s="740"/>
      <c r="AN248" s="740"/>
      <c r="AO248" s="740"/>
      <c r="AP248" s="740"/>
      <c r="AQ248" s="740"/>
      <c r="AR248" s="740"/>
      <c r="AS248" s="740"/>
      <c r="AT248" s="740"/>
      <c r="AU248" s="740"/>
      <c r="AV248" s="740"/>
      <c r="AW248" s="740"/>
      <c r="AX248" s="740"/>
      <c r="AY248" s="740"/>
      <c r="AZ248" s="740"/>
      <c r="BA248" s="740"/>
      <c r="BB248" s="740"/>
      <c r="BC248" s="740"/>
      <c r="BD248" s="740"/>
      <c r="BE248" s="740"/>
      <c r="BF248" s="740"/>
      <c r="BG248" s="740"/>
      <c r="BH248" s="740"/>
      <c r="BI248" s="740"/>
      <c r="BJ248" s="740"/>
      <c r="BK248" s="740"/>
      <c r="BL248" s="740"/>
      <c r="BM248" s="740"/>
      <c r="BN248" s="740"/>
      <c r="BO248" s="740"/>
      <c r="BP248" s="740"/>
      <c r="BQ248" s="740"/>
      <c r="BR248" s="740"/>
      <c r="BS248" s="740"/>
      <c r="BT248" s="740"/>
      <c r="BU248" s="740"/>
      <c r="BV248" s="740"/>
      <c r="BW248" s="740"/>
      <c r="BX248" s="740"/>
      <c r="BY248" s="740"/>
      <c r="BZ248" s="740"/>
      <c r="CA248" s="740"/>
      <c r="CB248" s="740"/>
      <c r="CC248" s="740"/>
      <c r="CD248" s="740"/>
      <c r="CE248" s="740"/>
      <c r="CF248" s="740"/>
      <c r="CG248" s="740"/>
      <c r="CH248" s="740"/>
      <c r="CI248" s="740"/>
      <c r="CJ248" s="740"/>
      <c r="CK248" s="740"/>
      <c r="CL248" s="740"/>
      <c r="CM248" s="740"/>
      <c r="CN248" s="740"/>
      <c r="CO248" s="740"/>
      <c r="CP248" s="740"/>
      <c r="CQ248" s="740"/>
      <c r="CR248" s="740"/>
      <c r="CS248" s="740"/>
      <c r="CT248" s="740"/>
      <c r="CU248" s="740"/>
      <c r="CV248" s="740"/>
      <c r="CW248" s="740"/>
      <c r="CX248" s="740"/>
      <c r="CY248" s="740"/>
      <c r="CZ248" s="740"/>
      <c r="DA248" s="740"/>
      <c r="DB248" s="740"/>
      <c r="DC248" s="740"/>
      <c r="DD248" s="740"/>
      <c r="DE248" s="740"/>
      <c r="DF248" s="740"/>
      <c r="DG248" s="740"/>
      <c r="DH248" s="740"/>
      <c r="DI248" s="740"/>
      <c r="DJ248" s="740"/>
      <c r="DK248" s="740"/>
      <c r="DL248" s="740"/>
      <c r="DM248" s="740"/>
      <c r="DN248" s="740"/>
      <c r="DO248" s="740"/>
      <c r="DP248" s="740"/>
      <c r="DQ248" s="740"/>
      <c r="DR248" s="740"/>
      <c r="DS248" s="740"/>
      <c r="DT248" s="740"/>
      <c r="DU248" s="740"/>
      <c r="DV248" s="740"/>
      <c r="DW248" s="740"/>
      <c r="DX248" s="740"/>
      <c r="DY248" s="740"/>
      <c r="DZ248" s="740"/>
      <c r="EA248" s="740"/>
      <c r="EB248" s="740"/>
      <c r="EC248" s="740"/>
      <c r="ED248" s="740"/>
      <c r="EE248" s="740"/>
      <c r="EF248" s="740"/>
      <c r="EG248" s="740"/>
      <c r="EH248" s="740"/>
      <c r="EI248" s="740"/>
      <c r="EJ248" s="740"/>
      <c r="EK248" s="740"/>
      <c r="EL248" s="740"/>
      <c r="EM248" s="740"/>
      <c r="EN248" s="740"/>
      <c r="EO248" s="740"/>
      <c r="EP248" s="740"/>
      <c r="EQ248" s="740"/>
      <c r="ER248" s="740"/>
      <c r="ES248" s="740"/>
      <c r="ET248" s="740"/>
      <c r="EU248" s="740"/>
      <c r="EV248" s="740"/>
      <c r="EW248" s="740"/>
      <c r="EX248" s="740"/>
      <c r="EY248" s="740"/>
      <c r="EZ248" s="740"/>
      <c r="FA248" s="740"/>
      <c r="FB248" s="740"/>
      <c r="FC248" s="740"/>
      <c r="FD248" s="740"/>
      <c r="FE248" s="740"/>
      <c r="FF248" s="740"/>
      <c r="FG248" s="740"/>
      <c r="FH248" s="740"/>
      <c r="FI248" s="740"/>
      <c r="FJ248" s="740"/>
      <c r="FK248" s="740"/>
      <c r="FL248" s="740"/>
      <c r="FM248" s="740"/>
      <c r="FN248" s="740"/>
      <c r="FO248" s="740"/>
      <c r="FP248" s="740"/>
      <c r="FQ248" s="740"/>
      <c r="FR248" s="740"/>
      <c r="FS248" s="740"/>
      <c r="FT248" s="740"/>
      <c r="FU248" s="740"/>
      <c r="FV248" s="740"/>
      <c r="FW248" s="740"/>
      <c r="FX248" s="740"/>
      <c r="FY248" s="740"/>
      <c r="FZ248" s="740"/>
      <c r="GA248" s="740"/>
      <c r="GB248" s="740"/>
      <c r="GC248" s="740"/>
      <c r="GD248" s="740"/>
      <c r="GE248" s="740"/>
      <c r="GF248" s="740"/>
      <c r="GG248" s="740"/>
      <c r="GH248" s="740"/>
      <c r="GI248" s="740"/>
      <c r="GJ248" s="740"/>
      <c r="GK248" s="740"/>
      <c r="GL248" s="740"/>
      <c r="GM248" s="740"/>
      <c r="GN248" s="740"/>
      <c r="GO248" s="740"/>
      <c r="GP248" s="740"/>
      <c r="GQ248" s="740"/>
      <c r="GR248" s="740"/>
      <c r="GS248" s="740"/>
      <c r="GT248" s="740"/>
      <c r="GU248" s="740"/>
      <c r="GV248" s="740"/>
      <c r="GW248" s="740"/>
    </row>
    <row r="249" spans="18:205" ht="24" customHeight="1" x14ac:dyDescent="0.2">
      <c r="R249" s="740"/>
      <c r="S249" s="740"/>
      <c r="T249" s="740"/>
      <c r="U249" s="740"/>
      <c r="V249" s="740"/>
      <c r="W249" s="740"/>
      <c r="X249" s="740"/>
      <c r="Y249" s="740"/>
      <c r="Z249" s="740"/>
      <c r="AA249" s="740"/>
      <c r="AB249" s="740"/>
      <c r="AC249" s="740"/>
      <c r="AD249" s="740"/>
      <c r="AE249" s="740"/>
      <c r="AF249" s="740"/>
      <c r="AG249" s="740"/>
      <c r="AH249" s="740"/>
      <c r="AI249" s="740"/>
      <c r="AJ249" s="740"/>
      <c r="AK249" s="740"/>
      <c r="AL249" s="740"/>
      <c r="AM249" s="740"/>
      <c r="AN249" s="740"/>
      <c r="AO249" s="740"/>
      <c r="AP249" s="740"/>
      <c r="AQ249" s="740"/>
      <c r="AR249" s="740"/>
      <c r="AS249" s="740"/>
      <c r="AT249" s="740"/>
      <c r="AU249" s="740"/>
      <c r="AV249" s="740"/>
      <c r="AW249" s="740"/>
      <c r="AX249" s="740"/>
      <c r="AY249" s="740"/>
      <c r="AZ249" s="740"/>
      <c r="BA249" s="740"/>
      <c r="BB249" s="740"/>
      <c r="BC249" s="740"/>
      <c r="BD249" s="740"/>
      <c r="BE249" s="740"/>
      <c r="BF249" s="740"/>
      <c r="BG249" s="740"/>
      <c r="BH249" s="740"/>
      <c r="BI249" s="740"/>
      <c r="BJ249" s="740"/>
      <c r="BK249" s="740"/>
      <c r="BL249" s="740"/>
      <c r="BM249" s="740"/>
      <c r="BN249" s="740"/>
      <c r="BO249" s="740"/>
      <c r="BP249" s="740"/>
      <c r="BQ249" s="740"/>
      <c r="BR249" s="740"/>
      <c r="BS249" s="740"/>
      <c r="BT249" s="740"/>
      <c r="BU249" s="740"/>
      <c r="BV249" s="740"/>
      <c r="BW249" s="740"/>
      <c r="BX249" s="740"/>
      <c r="BY249" s="740"/>
      <c r="BZ249" s="740"/>
      <c r="CA249" s="740"/>
      <c r="CB249" s="740"/>
      <c r="CC249" s="740"/>
      <c r="CD249" s="740"/>
      <c r="CE249" s="740"/>
      <c r="CF249" s="740"/>
      <c r="CG249" s="740"/>
      <c r="CH249" s="740"/>
      <c r="CI249" s="740"/>
      <c r="CJ249" s="740"/>
      <c r="CK249" s="740"/>
      <c r="CL249" s="740"/>
      <c r="CM249" s="740"/>
      <c r="CN249" s="740"/>
      <c r="CO249" s="740"/>
      <c r="CP249" s="740"/>
      <c r="CQ249" s="740"/>
      <c r="CR249" s="740"/>
      <c r="CS249" s="740"/>
      <c r="CT249" s="740"/>
      <c r="CU249" s="740"/>
      <c r="CV249" s="740"/>
      <c r="CW249" s="740"/>
      <c r="CX249" s="740"/>
      <c r="CY249" s="740"/>
      <c r="CZ249" s="740"/>
      <c r="DA249" s="740"/>
      <c r="DB249" s="740"/>
      <c r="DC249" s="740"/>
      <c r="DD249" s="740"/>
      <c r="DE249" s="740"/>
      <c r="DF249" s="740"/>
      <c r="DG249" s="740"/>
      <c r="DH249" s="740"/>
      <c r="DI249" s="740"/>
      <c r="DJ249" s="740"/>
      <c r="DK249" s="740"/>
      <c r="DL249" s="740"/>
      <c r="DM249" s="740"/>
      <c r="DN249" s="740"/>
      <c r="DO249" s="740"/>
      <c r="DP249" s="740"/>
      <c r="DQ249" s="740"/>
      <c r="DR249" s="740"/>
      <c r="DS249" s="740"/>
      <c r="DT249" s="740"/>
      <c r="DU249" s="740"/>
      <c r="DV249" s="740"/>
      <c r="DW249" s="740"/>
      <c r="DX249" s="740"/>
      <c r="DY249" s="740"/>
      <c r="DZ249" s="740"/>
      <c r="EA249" s="740"/>
      <c r="EB249" s="740"/>
      <c r="EC249" s="740"/>
      <c r="ED249" s="740"/>
      <c r="EE249" s="740"/>
      <c r="EF249" s="740"/>
      <c r="EG249" s="740"/>
      <c r="EH249" s="740"/>
      <c r="EI249" s="740"/>
      <c r="EJ249" s="740"/>
      <c r="EK249" s="740"/>
      <c r="EL249" s="740"/>
      <c r="EM249" s="740"/>
      <c r="EN249" s="740"/>
      <c r="EO249" s="740"/>
      <c r="EP249" s="740"/>
      <c r="EQ249" s="740"/>
      <c r="ER249" s="740"/>
      <c r="ES249" s="740"/>
      <c r="ET249" s="740"/>
      <c r="EU249" s="740"/>
      <c r="EV249" s="740"/>
      <c r="EW249" s="740"/>
      <c r="EX249" s="740"/>
      <c r="EY249" s="740"/>
      <c r="EZ249" s="740"/>
      <c r="FA249" s="740"/>
      <c r="FB249" s="740"/>
      <c r="FC249" s="740"/>
      <c r="FD249" s="740"/>
      <c r="FE249" s="740"/>
      <c r="FF249" s="740"/>
      <c r="FG249" s="740"/>
      <c r="FH249" s="740"/>
      <c r="FI249" s="740"/>
      <c r="FJ249" s="740"/>
      <c r="FK249" s="740"/>
      <c r="FL249" s="740"/>
      <c r="FM249" s="740"/>
      <c r="FN249" s="740"/>
      <c r="FO249" s="740"/>
      <c r="FP249" s="740"/>
      <c r="FQ249" s="740"/>
      <c r="FR249" s="740"/>
      <c r="FS249" s="740"/>
      <c r="FT249" s="740"/>
      <c r="FU249" s="740"/>
      <c r="FV249" s="740"/>
      <c r="FW249" s="740"/>
      <c r="FX249" s="740"/>
      <c r="FY249" s="740"/>
      <c r="FZ249" s="740"/>
      <c r="GA249" s="740"/>
      <c r="GB249" s="740"/>
      <c r="GC249" s="740"/>
      <c r="GD249" s="740"/>
      <c r="GE249" s="740"/>
      <c r="GF249" s="740"/>
      <c r="GG249" s="740"/>
      <c r="GH249" s="740"/>
      <c r="GI249" s="740"/>
      <c r="GJ249" s="740"/>
      <c r="GK249" s="740"/>
      <c r="GL249" s="740"/>
      <c r="GM249" s="740"/>
      <c r="GN249" s="740"/>
      <c r="GO249" s="740"/>
      <c r="GP249" s="740"/>
      <c r="GQ249" s="740"/>
      <c r="GR249" s="740"/>
      <c r="GS249" s="740"/>
      <c r="GT249" s="740"/>
      <c r="GU249" s="740"/>
      <c r="GV249" s="740"/>
      <c r="GW249" s="740"/>
    </row>
    <row r="250" spans="18:205" ht="24" customHeight="1" x14ac:dyDescent="0.2">
      <c r="R250" s="740"/>
      <c r="S250" s="740"/>
      <c r="T250" s="740"/>
      <c r="U250" s="740"/>
      <c r="V250" s="740"/>
      <c r="W250" s="740"/>
      <c r="X250" s="740"/>
      <c r="Y250" s="740"/>
      <c r="Z250" s="740"/>
      <c r="AA250" s="740"/>
      <c r="AB250" s="740"/>
      <c r="AC250" s="740"/>
      <c r="AD250" s="740"/>
      <c r="AE250" s="740"/>
      <c r="AF250" s="740"/>
      <c r="AG250" s="740"/>
      <c r="AH250" s="740"/>
      <c r="AI250" s="740"/>
      <c r="AJ250" s="740"/>
      <c r="AK250" s="740"/>
      <c r="AL250" s="740"/>
      <c r="AM250" s="740"/>
      <c r="AN250" s="740"/>
      <c r="AO250" s="740"/>
      <c r="AP250" s="740"/>
      <c r="AQ250" s="740"/>
      <c r="AR250" s="740"/>
      <c r="AS250" s="740"/>
      <c r="AT250" s="740"/>
      <c r="AU250" s="740"/>
      <c r="AV250" s="740"/>
      <c r="AW250" s="740"/>
      <c r="AX250" s="740"/>
      <c r="AY250" s="740"/>
      <c r="AZ250" s="740"/>
      <c r="BA250" s="740"/>
      <c r="BB250" s="740"/>
      <c r="BC250" s="740"/>
      <c r="BD250" s="740"/>
      <c r="BE250" s="740"/>
      <c r="BF250" s="740"/>
      <c r="BG250" s="740"/>
      <c r="BH250" s="740"/>
      <c r="BI250" s="740"/>
      <c r="BJ250" s="740"/>
      <c r="BK250" s="740"/>
      <c r="BL250" s="740"/>
      <c r="BM250" s="740"/>
      <c r="BN250" s="740"/>
      <c r="BO250" s="740"/>
      <c r="BP250" s="740"/>
      <c r="BQ250" s="740"/>
      <c r="BR250" s="740"/>
      <c r="BS250" s="740"/>
      <c r="BT250" s="740"/>
      <c r="BU250" s="740"/>
      <c r="BV250" s="740"/>
      <c r="BW250" s="740"/>
      <c r="BX250" s="740"/>
      <c r="BY250" s="740"/>
      <c r="BZ250" s="740"/>
      <c r="CA250" s="740"/>
      <c r="CB250" s="740"/>
      <c r="CC250" s="740"/>
      <c r="CD250" s="740"/>
      <c r="CE250" s="740"/>
      <c r="CF250" s="740"/>
      <c r="CG250" s="740"/>
      <c r="CH250" s="740"/>
      <c r="CI250" s="740"/>
      <c r="CJ250" s="740"/>
      <c r="CK250" s="740"/>
      <c r="CL250" s="740"/>
      <c r="CM250" s="740"/>
      <c r="CN250" s="740"/>
      <c r="CO250" s="740"/>
      <c r="CP250" s="740"/>
      <c r="CQ250" s="740"/>
      <c r="CR250" s="740"/>
      <c r="CS250" s="740"/>
      <c r="CT250" s="740"/>
      <c r="CU250" s="740"/>
      <c r="CV250" s="740"/>
      <c r="CW250" s="740"/>
      <c r="CX250" s="740"/>
      <c r="CY250" s="740"/>
      <c r="CZ250" s="740"/>
      <c r="DA250" s="740"/>
      <c r="DB250" s="740"/>
      <c r="DC250" s="740"/>
      <c r="DD250" s="740"/>
      <c r="DE250" s="740"/>
      <c r="DF250" s="740"/>
      <c r="DG250" s="740"/>
      <c r="DH250" s="740"/>
      <c r="DI250" s="740"/>
      <c r="DJ250" s="740"/>
      <c r="DK250" s="740"/>
      <c r="DL250" s="740"/>
      <c r="DM250" s="740"/>
      <c r="DN250" s="740"/>
      <c r="DO250" s="740"/>
      <c r="DP250" s="740"/>
      <c r="DQ250" s="740"/>
      <c r="DR250" s="740"/>
      <c r="DS250" s="740"/>
      <c r="DT250" s="740"/>
      <c r="DU250" s="740"/>
      <c r="DV250" s="740"/>
      <c r="DW250" s="740"/>
      <c r="DX250" s="740"/>
      <c r="DY250" s="740"/>
      <c r="DZ250" s="740"/>
      <c r="EA250" s="740"/>
      <c r="EB250" s="740"/>
      <c r="EC250" s="740"/>
      <c r="ED250" s="740"/>
      <c r="EE250" s="740"/>
      <c r="EF250" s="740"/>
      <c r="EG250" s="740"/>
      <c r="EH250" s="740"/>
      <c r="EI250" s="740"/>
      <c r="EJ250" s="740"/>
      <c r="EK250" s="740"/>
      <c r="EL250" s="740"/>
      <c r="EM250" s="740"/>
      <c r="EN250" s="740"/>
      <c r="EO250" s="740"/>
      <c r="EP250" s="740"/>
      <c r="EQ250" s="740"/>
      <c r="ER250" s="740"/>
      <c r="ES250" s="740"/>
      <c r="ET250" s="740"/>
      <c r="EU250" s="740"/>
      <c r="EV250" s="740"/>
      <c r="EW250" s="740"/>
      <c r="EX250" s="740"/>
      <c r="EY250" s="740"/>
      <c r="EZ250" s="740"/>
      <c r="FA250" s="740"/>
      <c r="FB250" s="740"/>
      <c r="FC250" s="740"/>
      <c r="FD250" s="740"/>
      <c r="FE250" s="740"/>
      <c r="FF250" s="740"/>
      <c r="FG250" s="740"/>
      <c r="FH250" s="740"/>
      <c r="FI250" s="740"/>
      <c r="FJ250" s="740"/>
      <c r="FK250" s="740"/>
      <c r="FL250" s="740"/>
      <c r="FM250" s="740"/>
      <c r="FN250" s="740"/>
      <c r="FO250" s="740"/>
      <c r="FP250" s="740"/>
      <c r="FQ250" s="740"/>
      <c r="FR250" s="740"/>
      <c r="FS250" s="740"/>
      <c r="FT250" s="740"/>
      <c r="FU250" s="740"/>
      <c r="FV250" s="740"/>
      <c r="FW250" s="740"/>
      <c r="FX250" s="740"/>
      <c r="FY250" s="740"/>
      <c r="FZ250" s="740"/>
      <c r="GA250" s="740"/>
      <c r="GB250" s="740"/>
      <c r="GC250" s="740"/>
      <c r="GD250" s="740"/>
      <c r="GE250" s="740"/>
      <c r="GF250" s="740"/>
      <c r="GG250" s="740"/>
      <c r="GH250" s="740"/>
      <c r="GI250" s="740"/>
      <c r="GJ250" s="740"/>
      <c r="GK250" s="740"/>
      <c r="GL250" s="740"/>
      <c r="GM250" s="740"/>
      <c r="GN250" s="740"/>
      <c r="GO250" s="740"/>
      <c r="GP250" s="740"/>
      <c r="GQ250" s="740"/>
      <c r="GR250" s="740"/>
      <c r="GS250" s="740"/>
      <c r="GT250" s="740"/>
      <c r="GU250" s="740"/>
      <c r="GV250" s="740"/>
      <c r="GW250" s="740"/>
    </row>
    <row r="251" spans="18:205" ht="24" customHeight="1" x14ac:dyDescent="0.2">
      <c r="R251" s="740"/>
      <c r="S251" s="740"/>
      <c r="T251" s="740"/>
      <c r="U251" s="740"/>
      <c r="V251" s="740"/>
      <c r="W251" s="740"/>
      <c r="X251" s="740"/>
      <c r="Y251" s="740"/>
      <c r="Z251" s="740"/>
      <c r="AA251" s="740"/>
      <c r="AB251" s="740"/>
      <c r="AC251" s="740"/>
      <c r="AD251" s="740"/>
      <c r="AE251" s="740"/>
      <c r="AF251" s="740"/>
      <c r="AG251" s="740"/>
      <c r="AH251" s="740"/>
      <c r="AI251" s="740"/>
      <c r="AJ251" s="740"/>
      <c r="AK251" s="740"/>
      <c r="AL251" s="740"/>
      <c r="AM251" s="740"/>
      <c r="AN251" s="740"/>
      <c r="AO251" s="740"/>
      <c r="AP251" s="740"/>
      <c r="AQ251" s="740"/>
      <c r="AR251" s="740"/>
      <c r="AS251" s="740"/>
      <c r="AT251" s="740"/>
      <c r="AU251" s="740"/>
      <c r="AV251" s="740"/>
      <c r="AW251" s="740"/>
      <c r="AX251" s="740"/>
      <c r="AY251" s="740"/>
      <c r="AZ251" s="740"/>
      <c r="BA251" s="740"/>
      <c r="BB251" s="740"/>
      <c r="BC251" s="740"/>
      <c r="BD251" s="740"/>
      <c r="BE251" s="740"/>
      <c r="BF251" s="740"/>
      <c r="BG251" s="740"/>
      <c r="BH251" s="740"/>
      <c r="BI251" s="740"/>
      <c r="BJ251" s="740"/>
      <c r="BK251" s="740"/>
      <c r="BL251" s="740"/>
      <c r="BM251" s="740"/>
      <c r="BN251" s="740"/>
      <c r="BO251" s="740"/>
      <c r="BP251" s="740"/>
      <c r="BQ251" s="740"/>
      <c r="BR251" s="740"/>
      <c r="BS251" s="740"/>
      <c r="BT251" s="740"/>
      <c r="BU251" s="740"/>
      <c r="BV251" s="740"/>
      <c r="BW251" s="740"/>
      <c r="BX251" s="740"/>
      <c r="BY251" s="740"/>
      <c r="BZ251" s="740"/>
      <c r="CA251" s="740"/>
      <c r="CB251" s="740"/>
      <c r="CC251" s="740"/>
      <c r="CD251" s="740"/>
      <c r="CE251" s="740"/>
      <c r="CF251" s="740"/>
      <c r="CG251" s="740"/>
      <c r="CH251" s="740"/>
      <c r="CI251" s="740"/>
      <c r="CJ251" s="740"/>
      <c r="CK251" s="740"/>
      <c r="CL251" s="740"/>
      <c r="CM251" s="740"/>
      <c r="CN251" s="740"/>
      <c r="CO251" s="740"/>
      <c r="CP251" s="740"/>
      <c r="CQ251" s="740"/>
      <c r="CR251" s="740"/>
      <c r="CS251" s="740"/>
      <c r="CT251" s="740"/>
      <c r="CU251" s="740"/>
      <c r="CV251" s="740"/>
      <c r="CW251" s="740"/>
      <c r="CX251" s="740"/>
      <c r="CY251" s="740"/>
      <c r="CZ251" s="740"/>
      <c r="DA251" s="740"/>
      <c r="DB251" s="740"/>
      <c r="DC251" s="740"/>
      <c r="DD251" s="740"/>
      <c r="DE251" s="740"/>
      <c r="DF251" s="740"/>
      <c r="DG251" s="740"/>
      <c r="DH251" s="740"/>
      <c r="DI251" s="740"/>
      <c r="DJ251" s="740"/>
      <c r="DK251" s="740"/>
      <c r="DL251" s="740"/>
      <c r="DM251" s="740"/>
      <c r="DN251" s="740"/>
      <c r="DO251" s="740"/>
      <c r="DP251" s="740"/>
      <c r="DQ251" s="740"/>
      <c r="DR251" s="740"/>
      <c r="DS251" s="740"/>
      <c r="DT251" s="740"/>
      <c r="DU251" s="740"/>
      <c r="DV251" s="740"/>
      <c r="DW251" s="740"/>
      <c r="DX251" s="740"/>
      <c r="DY251" s="740"/>
      <c r="DZ251" s="740"/>
      <c r="EA251" s="740"/>
      <c r="EB251" s="740"/>
      <c r="EC251" s="740"/>
      <c r="ED251" s="740"/>
      <c r="EE251" s="740"/>
      <c r="EF251" s="740"/>
      <c r="EG251" s="740"/>
      <c r="EH251" s="740"/>
      <c r="EI251" s="740"/>
      <c r="EJ251" s="740"/>
      <c r="EK251" s="740"/>
      <c r="EL251" s="740"/>
      <c r="EM251" s="740"/>
      <c r="EN251" s="740"/>
      <c r="EO251" s="740"/>
      <c r="EP251" s="740"/>
      <c r="EQ251" s="740"/>
      <c r="ER251" s="740"/>
      <c r="ES251" s="740"/>
      <c r="ET251" s="740"/>
      <c r="EU251" s="740"/>
      <c r="EV251" s="740"/>
      <c r="EW251" s="740"/>
      <c r="EX251" s="740"/>
      <c r="EY251" s="740"/>
      <c r="EZ251" s="740"/>
      <c r="FA251" s="740"/>
      <c r="FB251" s="740"/>
      <c r="FC251" s="740"/>
      <c r="FD251" s="740"/>
      <c r="FE251" s="740"/>
      <c r="FF251" s="740"/>
      <c r="FG251" s="740"/>
      <c r="FH251" s="740"/>
      <c r="FI251" s="740"/>
      <c r="FJ251" s="740"/>
      <c r="FK251" s="740"/>
      <c r="FL251" s="740"/>
      <c r="FM251" s="740"/>
      <c r="FN251" s="740"/>
      <c r="FO251" s="740"/>
      <c r="FP251" s="740"/>
      <c r="FQ251" s="740"/>
      <c r="FR251" s="740"/>
      <c r="FS251" s="740"/>
      <c r="FT251" s="740"/>
      <c r="FU251" s="740"/>
      <c r="FV251" s="740"/>
      <c r="FW251" s="740"/>
      <c r="FX251" s="740"/>
      <c r="FY251" s="740"/>
      <c r="FZ251" s="740"/>
      <c r="GA251" s="740"/>
      <c r="GB251" s="740"/>
      <c r="GC251" s="740"/>
      <c r="GD251" s="740"/>
      <c r="GE251" s="740"/>
      <c r="GF251" s="740"/>
      <c r="GG251" s="740"/>
      <c r="GH251" s="740"/>
      <c r="GI251" s="740"/>
      <c r="GJ251" s="740"/>
      <c r="GK251" s="740"/>
      <c r="GL251" s="740"/>
      <c r="GM251" s="740"/>
      <c r="GN251" s="740"/>
      <c r="GO251" s="740"/>
      <c r="GP251" s="740"/>
      <c r="GQ251" s="740"/>
      <c r="GR251" s="740"/>
      <c r="GS251" s="740"/>
      <c r="GT251" s="740"/>
      <c r="GU251" s="740"/>
      <c r="GV251" s="740"/>
      <c r="GW251" s="740"/>
    </row>
    <row r="252" spans="18:205" ht="24" customHeight="1" x14ac:dyDescent="0.2">
      <c r="R252" s="740"/>
      <c r="S252" s="740"/>
      <c r="T252" s="740"/>
      <c r="U252" s="740"/>
      <c r="V252" s="740"/>
      <c r="W252" s="740"/>
      <c r="X252" s="740"/>
      <c r="Y252" s="740"/>
      <c r="Z252" s="740"/>
      <c r="AA252" s="740"/>
      <c r="AB252" s="740"/>
      <c r="AC252" s="740"/>
      <c r="AD252" s="740"/>
      <c r="AE252" s="740"/>
      <c r="AF252" s="740"/>
      <c r="AG252" s="740"/>
      <c r="AH252" s="740"/>
      <c r="AI252" s="740"/>
      <c r="AJ252" s="740"/>
      <c r="AK252" s="740"/>
      <c r="AL252" s="740"/>
      <c r="AM252" s="740"/>
      <c r="AN252" s="740"/>
      <c r="AO252" s="740"/>
      <c r="AP252" s="740"/>
      <c r="AQ252" s="740"/>
      <c r="AR252" s="740"/>
      <c r="AS252" s="740"/>
      <c r="AT252" s="740"/>
      <c r="AU252" s="740"/>
      <c r="AV252" s="740"/>
      <c r="AW252" s="740"/>
      <c r="AX252" s="740"/>
      <c r="AY252" s="740"/>
      <c r="AZ252" s="740"/>
      <c r="BA252" s="740"/>
      <c r="BB252" s="740"/>
      <c r="BC252" s="740"/>
      <c r="BD252" s="740"/>
      <c r="BE252" s="740"/>
      <c r="BF252" s="740"/>
      <c r="BG252" s="740"/>
      <c r="BH252" s="740"/>
      <c r="BI252" s="740"/>
      <c r="BJ252" s="740"/>
      <c r="BK252" s="740"/>
      <c r="BL252" s="740"/>
      <c r="BM252" s="740"/>
      <c r="BN252" s="740"/>
      <c r="BO252" s="740"/>
      <c r="BP252" s="740"/>
      <c r="BQ252" s="740"/>
      <c r="BR252" s="740"/>
      <c r="BS252" s="740"/>
      <c r="BT252" s="740"/>
      <c r="BU252" s="740"/>
      <c r="BV252" s="740"/>
      <c r="BW252" s="740"/>
      <c r="BX252" s="740"/>
      <c r="BY252" s="740"/>
      <c r="BZ252" s="740"/>
      <c r="CA252" s="740"/>
      <c r="CB252" s="740"/>
      <c r="CC252" s="740"/>
      <c r="CD252" s="740"/>
      <c r="CE252" s="740"/>
      <c r="CF252" s="740"/>
      <c r="CG252" s="740"/>
      <c r="CH252" s="740"/>
      <c r="CI252" s="740"/>
      <c r="CJ252" s="740"/>
      <c r="CK252" s="740"/>
      <c r="CL252" s="740"/>
      <c r="CM252" s="740"/>
      <c r="CN252" s="740"/>
      <c r="CO252" s="740"/>
      <c r="CP252" s="740"/>
      <c r="CQ252" s="740"/>
      <c r="CR252" s="740"/>
      <c r="CS252" s="740"/>
      <c r="CT252" s="740"/>
      <c r="CU252" s="740"/>
      <c r="CV252" s="740"/>
      <c r="CW252" s="740"/>
      <c r="CX252" s="740"/>
      <c r="CY252" s="740"/>
      <c r="CZ252" s="740"/>
      <c r="DA252" s="740"/>
      <c r="DB252" s="740"/>
      <c r="DC252" s="740"/>
      <c r="DD252" s="740"/>
      <c r="DE252" s="740"/>
      <c r="DF252" s="740"/>
      <c r="DG252" s="740"/>
      <c r="DH252" s="740"/>
      <c r="DI252" s="740"/>
      <c r="DJ252" s="740"/>
      <c r="DK252" s="740"/>
      <c r="DL252" s="740"/>
      <c r="DM252" s="740"/>
      <c r="DN252" s="740"/>
      <c r="DO252" s="740"/>
      <c r="DP252" s="740"/>
      <c r="DQ252" s="740"/>
      <c r="DR252" s="740"/>
      <c r="DS252" s="740"/>
      <c r="DT252" s="740"/>
      <c r="DU252" s="740"/>
      <c r="DV252" s="740"/>
      <c r="DW252" s="740"/>
      <c r="DX252" s="740"/>
      <c r="DY252" s="740"/>
      <c r="DZ252" s="740"/>
      <c r="EA252" s="740"/>
      <c r="EB252" s="740"/>
      <c r="EC252" s="740"/>
      <c r="ED252" s="740"/>
      <c r="EE252" s="740"/>
      <c r="EF252" s="740"/>
      <c r="EG252" s="740"/>
      <c r="EH252" s="740"/>
      <c r="EI252" s="740"/>
      <c r="EJ252" s="740"/>
      <c r="EK252" s="740"/>
      <c r="EL252" s="740"/>
      <c r="EM252" s="740"/>
      <c r="EN252" s="740"/>
      <c r="EO252" s="740"/>
      <c r="EP252" s="740"/>
      <c r="EQ252" s="740"/>
      <c r="ER252" s="740"/>
      <c r="ES252" s="740"/>
      <c r="ET252" s="740"/>
      <c r="EU252" s="740"/>
      <c r="EV252" s="740"/>
      <c r="EW252" s="740"/>
      <c r="EX252" s="740"/>
      <c r="EY252" s="740"/>
      <c r="EZ252" s="740"/>
      <c r="FA252" s="740"/>
      <c r="FB252" s="740"/>
      <c r="FC252" s="740"/>
      <c r="FD252" s="740"/>
      <c r="FE252" s="740"/>
      <c r="FF252" s="740"/>
      <c r="FG252" s="740"/>
      <c r="FH252" s="740"/>
      <c r="FI252" s="740"/>
      <c r="FJ252" s="740"/>
      <c r="FK252" s="740"/>
      <c r="FL252" s="740"/>
      <c r="FM252" s="740"/>
      <c r="FN252" s="740"/>
      <c r="FO252" s="740"/>
      <c r="FP252" s="740"/>
      <c r="FQ252" s="740"/>
      <c r="FR252" s="740"/>
      <c r="FS252" s="740"/>
      <c r="FT252" s="740"/>
      <c r="FU252" s="740"/>
      <c r="FV252" s="740"/>
      <c r="FW252" s="740"/>
      <c r="FX252" s="740"/>
      <c r="FY252" s="740"/>
      <c r="FZ252" s="740"/>
      <c r="GA252" s="740"/>
      <c r="GB252" s="740"/>
      <c r="GC252" s="740"/>
      <c r="GD252" s="740"/>
      <c r="GE252" s="740"/>
      <c r="GF252" s="740"/>
      <c r="GG252" s="740"/>
      <c r="GH252" s="740"/>
      <c r="GI252" s="740"/>
      <c r="GJ252" s="740"/>
      <c r="GK252" s="740"/>
      <c r="GL252" s="740"/>
      <c r="GM252" s="740"/>
      <c r="GN252" s="740"/>
      <c r="GO252" s="740"/>
      <c r="GP252" s="740"/>
      <c r="GQ252" s="740"/>
      <c r="GR252" s="740"/>
      <c r="GS252" s="740"/>
      <c r="GT252" s="740"/>
      <c r="GU252" s="740"/>
      <c r="GV252" s="740"/>
      <c r="GW252" s="740"/>
    </row>
    <row r="253" spans="18:205" ht="24" customHeight="1" x14ac:dyDescent="0.2">
      <c r="R253" s="740"/>
      <c r="S253" s="740"/>
      <c r="T253" s="740"/>
      <c r="U253" s="740"/>
      <c r="V253" s="740"/>
      <c r="W253" s="740"/>
      <c r="X253" s="740"/>
      <c r="Y253" s="740"/>
      <c r="Z253" s="740"/>
      <c r="AA253" s="740"/>
      <c r="AB253" s="740"/>
      <c r="AC253" s="740"/>
      <c r="AD253" s="740"/>
      <c r="AE253" s="740"/>
      <c r="AF253" s="740"/>
      <c r="AG253" s="740"/>
      <c r="AH253" s="740"/>
      <c r="AI253" s="740"/>
      <c r="AJ253" s="740"/>
      <c r="AK253" s="740"/>
      <c r="AL253" s="740"/>
      <c r="AM253" s="740"/>
      <c r="AN253" s="740"/>
      <c r="AO253" s="740"/>
      <c r="AP253" s="740"/>
      <c r="AQ253" s="740"/>
      <c r="AR253" s="740"/>
      <c r="AS253" s="740"/>
      <c r="AT253" s="740"/>
      <c r="AU253" s="740"/>
      <c r="AV253" s="740"/>
      <c r="AW253" s="740"/>
      <c r="AX253" s="740"/>
      <c r="AY253" s="740"/>
      <c r="AZ253" s="740"/>
      <c r="BA253" s="740"/>
      <c r="BB253" s="740"/>
      <c r="BC253" s="740"/>
      <c r="BD253" s="740"/>
      <c r="BE253" s="740"/>
      <c r="BF253" s="740"/>
      <c r="BG253" s="740"/>
      <c r="BH253" s="740"/>
      <c r="BI253" s="740"/>
      <c r="BJ253" s="740"/>
      <c r="BK253" s="740"/>
      <c r="BL253" s="740"/>
      <c r="BM253" s="740"/>
      <c r="BN253" s="740"/>
      <c r="BO253" s="740"/>
      <c r="BP253" s="740"/>
      <c r="BQ253" s="740"/>
      <c r="BR253" s="740"/>
      <c r="BS253" s="740"/>
      <c r="BT253" s="740"/>
      <c r="BU253" s="740"/>
      <c r="BV253" s="740"/>
      <c r="BW253" s="740"/>
      <c r="BX253" s="740"/>
      <c r="BY253" s="740"/>
      <c r="BZ253" s="740"/>
      <c r="CA253" s="740"/>
      <c r="CB253" s="740"/>
      <c r="CC253" s="740"/>
      <c r="CD253" s="740"/>
      <c r="CE253" s="740"/>
      <c r="CF253" s="740"/>
      <c r="CG253" s="740"/>
      <c r="CH253" s="740"/>
      <c r="CI253" s="740"/>
      <c r="CJ253" s="740"/>
      <c r="CK253" s="740"/>
      <c r="CL253" s="740"/>
      <c r="CM253" s="740"/>
      <c r="CN253" s="740"/>
      <c r="CO253" s="740"/>
      <c r="CP253" s="740"/>
      <c r="CQ253" s="740"/>
      <c r="CR253" s="740"/>
      <c r="CS253" s="740"/>
      <c r="CT253" s="740"/>
      <c r="CU253" s="740"/>
      <c r="CV253" s="740"/>
      <c r="CW253" s="740"/>
      <c r="CX253" s="740"/>
      <c r="CY253" s="740"/>
      <c r="CZ253" s="740"/>
      <c r="DA253" s="740"/>
      <c r="DB253" s="740"/>
      <c r="DC253" s="740"/>
      <c r="DD253" s="740"/>
      <c r="DE253" s="740"/>
      <c r="DF253" s="740"/>
      <c r="DG253" s="740"/>
      <c r="DH253" s="740"/>
      <c r="DI253" s="740"/>
      <c r="DJ253" s="740"/>
      <c r="DK253" s="740"/>
      <c r="DL253" s="740"/>
      <c r="DM253" s="740"/>
      <c r="DN253" s="740"/>
      <c r="DO253" s="740"/>
      <c r="DP253" s="740"/>
      <c r="DQ253" s="740"/>
      <c r="DR253" s="740"/>
      <c r="DS253" s="740"/>
      <c r="DT253" s="740"/>
      <c r="DU253" s="740"/>
      <c r="DV253" s="740"/>
      <c r="DW253" s="740"/>
      <c r="DX253" s="740"/>
      <c r="DY253" s="740"/>
      <c r="DZ253" s="740"/>
      <c r="EA253" s="740"/>
      <c r="EB253" s="740"/>
      <c r="EC253" s="740"/>
      <c r="ED253" s="740"/>
      <c r="EE253" s="740"/>
      <c r="EF253" s="740"/>
      <c r="EG253" s="740"/>
      <c r="EH253" s="740"/>
      <c r="EI253" s="740"/>
      <c r="EJ253" s="740"/>
      <c r="EK253" s="740"/>
      <c r="EL253" s="740"/>
      <c r="EM253" s="740"/>
      <c r="EN253" s="740"/>
      <c r="EO253" s="740"/>
      <c r="EP253" s="740"/>
      <c r="EQ253" s="740"/>
      <c r="ER253" s="740"/>
      <c r="ES253" s="740"/>
      <c r="ET253" s="740"/>
      <c r="EU253" s="740"/>
      <c r="EV253" s="740"/>
      <c r="EW253" s="740"/>
      <c r="EX253" s="740"/>
      <c r="EY253" s="740"/>
      <c r="EZ253" s="740"/>
      <c r="FA253" s="740"/>
      <c r="FB253" s="740"/>
      <c r="FC253" s="740"/>
      <c r="FD253" s="740"/>
      <c r="FE253" s="740"/>
      <c r="FF253" s="740"/>
      <c r="FG253" s="740"/>
      <c r="FH253" s="740"/>
      <c r="FI253" s="740"/>
      <c r="FJ253" s="740"/>
      <c r="FK253" s="740"/>
      <c r="FL253" s="740"/>
      <c r="FM253" s="740"/>
      <c r="FN253" s="740"/>
      <c r="FO253" s="740"/>
      <c r="FP253" s="740"/>
      <c r="FQ253" s="740"/>
      <c r="FR253" s="740"/>
      <c r="FS253" s="740"/>
      <c r="FT253" s="740"/>
      <c r="FU253" s="740"/>
      <c r="FV253" s="740"/>
      <c r="FW253" s="740"/>
      <c r="FX253" s="740"/>
      <c r="FY253" s="740"/>
      <c r="FZ253" s="740"/>
      <c r="GA253" s="740"/>
      <c r="GB253" s="740"/>
      <c r="GC253" s="740"/>
      <c r="GD253" s="740"/>
      <c r="GE253" s="740"/>
      <c r="GF253" s="740"/>
      <c r="GG253" s="740"/>
      <c r="GH253" s="740"/>
      <c r="GI253" s="740"/>
      <c r="GJ253" s="740"/>
      <c r="GK253" s="740"/>
      <c r="GL253" s="740"/>
      <c r="GM253" s="740"/>
      <c r="GN253" s="740"/>
      <c r="GO253" s="740"/>
      <c r="GP253" s="740"/>
      <c r="GQ253" s="740"/>
      <c r="GR253" s="740"/>
      <c r="GS253" s="740"/>
      <c r="GT253" s="740"/>
      <c r="GU253" s="740"/>
      <c r="GV253" s="740"/>
      <c r="GW253" s="740"/>
    </row>
    <row r="254" spans="18:205" ht="24" customHeight="1" x14ac:dyDescent="0.2">
      <c r="R254" s="740"/>
      <c r="S254" s="740"/>
      <c r="T254" s="740"/>
      <c r="U254" s="740"/>
      <c r="V254" s="740"/>
      <c r="W254" s="740"/>
      <c r="X254" s="740"/>
      <c r="Y254" s="740"/>
      <c r="Z254" s="740"/>
      <c r="AA254" s="740"/>
      <c r="AB254" s="740"/>
      <c r="AC254" s="740"/>
      <c r="AD254" s="740"/>
      <c r="AE254" s="740"/>
      <c r="AF254" s="740"/>
      <c r="AG254" s="740"/>
      <c r="AH254" s="740"/>
      <c r="AI254" s="740"/>
      <c r="AJ254" s="740"/>
      <c r="AK254" s="740"/>
      <c r="AL254" s="740"/>
      <c r="AM254" s="740"/>
      <c r="AN254" s="740"/>
      <c r="AO254" s="740"/>
      <c r="AP254" s="740"/>
      <c r="AQ254" s="740"/>
      <c r="AR254" s="740"/>
      <c r="AS254" s="740"/>
      <c r="AT254" s="740"/>
      <c r="AU254" s="740"/>
      <c r="AV254" s="740"/>
      <c r="AW254" s="740"/>
      <c r="AX254" s="740"/>
      <c r="AY254" s="740"/>
      <c r="AZ254" s="740"/>
      <c r="BA254" s="740"/>
      <c r="BB254" s="740"/>
      <c r="BC254" s="740"/>
      <c r="BD254" s="740"/>
      <c r="BE254" s="740"/>
      <c r="BF254" s="740"/>
      <c r="BG254" s="740"/>
      <c r="BH254" s="740"/>
      <c r="BI254" s="740"/>
      <c r="BJ254" s="740"/>
      <c r="BK254" s="740"/>
      <c r="BL254" s="740"/>
      <c r="BM254" s="740"/>
      <c r="BN254" s="740"/>
      <c r="BO254" s="740"/>
      <c r="BP254" s="740"/>
      <c r="BQ254" s="740"/>
      <c r="BR254" s="740"/>
      <c r="BS254" s="740"/>
      <c r="BT254" s="740"/>
      <c r="BU254" s="740"/>
      <c r="BV254" s="740"/>
      <c r="BW254" s="740"/>
      <c r="BX254" s="740"/>
      <c r="BY254" s="740"/>
      <c r="BZ254" s="740"/>
      <c r="CA254" s="740"/>
      <c r="CB254" s="740"/>
      <c r="CC254" s="740"/>
      <c r="CD254" s="740"/>
      <c r="CE254" s="740"/>
      <c r="CF254" s="740"/>
      <c r="CG254" s="740"/>
      <c r="CH254" s="740"/>
      <c r="CI254" s="740"/>
      <c r="CJ254" s="740"/>
      <c r="CK254" s="740"/>
      <c r="CL254" s="740"/>
      <c r="CM254" s="740"/>
      <c r="CN254" s="740"/>
      <c r="CO254" s="740"/>
      <c r="CP254" s="740"/>
      <c r="CQ254" s="740"/>
      <c r="CR254" s="740"/>
      <c r="CS254" s="740"/>
      <c r="CT254" s="740"/>
      <c r="CU254" s="740"/>
      <c r="CV254" s="740"/>
      <c r="CW254" s="740"/>
      <c r="CX254" s="740"/>
      <c r="CY254" s="740"/>
      <c r="CZ254" s="740"/>
      <c r="DA254" s="740"/>
      <c r="DB254" s="740"/>
      <c r="DC254" s="740"/>
      <c r="DD254" s="740"/>
      <c r="DE254" s="740"/>
      <c r="DF254" s="740"/>
      <c r="DG254" s="740"/>
      <c r="DH254" s="740"/>
      <c r="DI254" s="740"/>
      <c r="DJ254" s="740"/>
      <c r="DK254" s="740"/>
      <c r="DL254" s="740"/>
      <c r="DM254" s="740"/>
      <c r="DN254" s="740"/>
      <c r="DO254" s="740"/>
      <c r="DP254" s="740"/>
      <c r="DQ254" s="740"/>
      <c r="DR254" s="740"/>
      <c r="DS254" s="740"/>
      <c r="DT254" s="740"/>
      <c r="DU254" s="740"/>
      <c r="DV254" s="740"/>
      <c r="DW254" s="740"/>
      <c r="DX254" s="740"/>
      <c r="DY254" s="740"/>
      <c r="DZ254" s="740"/>
      <c r="EA254" s="740"/>
      <c r="EB254" s="740"/>
      <c r="EC254" s="740"/>
      <c r="ED254" s="740"/>
      <c r="EE254" s="740"/>
      <c r="EF254" s="740"/>
      <c r="EG254" s="740"/>
      <c r="EH254" s="740"/>
      <c r="EI254" s="740"/>
      <c r="EJ254" s="740"/>
      <c r="EK254" s="740"/>
      <c r="EL254" s="740"/>
      <c r="EM254" s="740"/>
      <c r="EN254" s="740"/>
      <c r="EO254" s="740"/>
      <c r="EP254" s="740"/>
      <c r="EQ254" s="740"/>
      <c r="ER254" s="740"/>
      <c r="ES254" s="740"/>
      <c r="ET254" s="740"/>
      <c r="EU254" s="740"/>
      <c r="EV254" s="740"/>
      <c r="EW254" s="740"/>
      <c r="EX254" s="740"/>
      <c r="EY254" s="740"/>
      <c r="EZ254" s="740"/>
      <c r="FA254" s="740"/>
      <c r="FB254" s="740"/>
      <c r="FC254" s="740"/>
      <c r="FD254" s="740"/>
      <c r="FE254" s="740"/>
      <c r="FF254" s="740"/>
      <c r="FG254" s="740"/>
      <c r="FH254" s="740"/>
      <c r="FI254" s="740"/>
      <c r="FJ254" s="740"/>
      <c r="FK254" s="740"/>
      <c r="FL254" s="740"/>
      <c r="FM254" s="740"/>
      <c r="FN254" s="740"/>
      <c r="FO254" s="740"/>
      <c r="FP254" s="740"/>
      <c r="FQ254" s="740"/>
      <c r="FR254" s="740"/>
      <c r="FS254" s="740"/>
      <c r="FT254" s="740"/>
      <c r="FU254" s="740"/>
      <c r="FV254" s="740"/>
      <c r="FW254" s="740"/>
      <c r="FX254" s="740"/>
      <c r="FY254" s="740"/>
      <c r="FZ254" s="740"/>
      <c r="GA254" s="740"/>
      <c r="GB254" s="740"/>
      <c r="GC254" s="740"/>
      <c r="GD254" s="740"/>
      <c r="GE254" s="740"/>
      <c r="GF254" s="740"/>
      <c r="GG254" s="740"/>
      <c r="GH254" s="740"/>
      <c r="GI254" s="740"/>
      <c r="GJ254" s="740"/>
      <c r="GK254" s="740"/>
      <c r="GL254" s="740"/>
      <c r="GM254" s="740"/>
      <c r="GN254" s="740"/>
      <c r="GO254" s="740"/>
      <c r="GP254" s="740"/>
      <c r="GQ254" s="740"/>
      <c r="GR254" s="740"/>
      <c r="GS254" s="740"/>
      <c r="GT254" s="740"/>
      <c r="GU254" s="740"/>
      <c r="GV254" s="740"/>
      <c r="GW254" s="740"/>
    </row>
    <row r="255" spans="18:205" ht="24" customHeight="1" x14ac:dyDescent="0.2">
      <c r="R255" s="740"/>
      <c r="S255" s="740"/>
      <c r="T255" s="740"/>
      <c r="U255" s="740"/>
      <c r="V255" s="740"/>
      <c r="W255" s="740"/>
      <c r="X255" s="740"/>
      <c r="Y255" s="740"/>
      <c r="Z255" s="740"/>
      <c r="AA255" s="740"/>
      <c r="AB255" s="740"/>
      <c r="AC255" s="740"/>
      <c r="AD255" s="740"/>
      <c r="AE255" s="740"/>
      <c r="AF255" s="740"/>
      <c r="AG255" s="740"/>
      <c r="AH255" s="740"/>
      <c r="AI255" s="740"/>
      <c r="AJ255" s="740"/>
      <c r="AK255" s="740"/>
      <c r="AL255" s="740"/>
      <c r="AM255" s="740"/>
      <c r="AN255" s="740"/>
      <c r="AO255" s="740"/>
      <c r="AP255" s="740"/>
      <c r="AQ255" s="740"/>
      <c r="AR255" s="740"/>
      <c r="AS255" s="740"/>
      <c r="AT255" s="740"/>
      <c r="AU255" s="740"/>
      <c r="AV255" s="740"/>
      <c r="AW255" s="740"/>
      <c r="AX255" s="740"/>
      <c r="AY255" s="740"/>
      <c r="AZ255" s="740"/>
      <c r="BA255" s="740"/>
      <c r="BB255" s="740"/>
      <c r="BC255" s="740"/>
      <c r="BD255" s="740"/>
      <c r="BE255" s="740"/>
      <c r="BF255" s="740"/>
      <c r="BG255" s="740"/>
      <c r="BH255" s="740"/>
      <c r="BI255" s="740"/>
      <c r="BJ255" s="740"/>
      <c r="BK255" s="740"/>
      <c r="BL255" s="740"/>
      <c r="BM255" s="740"/>
      <c r="BN255" s="740"/>
      <c r="BO255" s="740"/>
      <c r="BP255" s="740"/>
      <c r="BQ255" s="740"/>
      <c r="BR255" s="740"/>
      <c r="BS255" s="740"/>
      <c r="BT255" s="740"/>
      <c r="BU255" s="740"/>
      <c r="BV255" s="740"/>
      <c r="BW255" s="740"/>
      <c r="BX255" s="740"/>
      <c r="BY255" s="740"/>
      <c r="BZ255" s="740"/>
      <c r="CA255" s="740"/>
      <c r="CB255" s="740"/>
      <c r="CC255" s="740"/>
      <c r="CD255" s="740"/>
      <c r="CE255" s="740"/>
      <c r="CF255" s="740"/>
      <c r="CG255" s="740"/>
      <c r="CH255" s="740"/>
      <c r="CI255" s="740"/>
      <c r="CJ255" s="740"/>
      <c r="CK255" s="740"/>
      <c r="CL255" s="740"/>
      <c r="CM255" s="740"/>
      <c r="CN255" s="740"/>
      <c r="CO255" s="740"/>
      <c r="CP255" s="740"/>
      <c r="CQ255" s="740"/>
      <c r="CR255" s="740"/>
      <c r="CS255" s="740"/>
      <c r="CT255" s="740"/>
      <c r="CU255" s="740"/>
      <c r="CV255" s="740"/>
      <c r="CW255" s="740"/>
      <c r="CX255" s="740"/>
      <c r="CY255" s="740"/>
      <c r="CZ255" s="740"/>
      <c r="DA255" s="740"/>
      <c r="DB255" s="740"/>
      <c r="DC255" s="740"/>
      <c r="DD255" s="740"/>
      <c r="DE255" s="740"/>
      <c r="DF255" s="740"/>
      <c r="DG255" s="740"/>
      <c r="DH255" s="740"/>
      <c r="DI255" s="740"/>
      <c r="DJ255" s="740"/>
      <c r="DK255" s="740"/>
      <c r="DL255" s="740"/>
      <c r="DM255" s="740"/>
      <c r="DN255" s="740"/>
      <c r="DO255" s="740"/>
      <c r="DP255" s="740"/>
      <c r="DQ255" s="740"/>
      <c r="DR255" s="740"/>
      <c r="DS255" s="740"/>
      <c r="DT255" s="740"/>
      <c r="DU255" s="740"/>
      <c r="DV255" s="740"/>
      <c r="DW255" s="740"/>
      <c r="DX255" s="740"/>
      <c r="DY255" s="740"/>
      <c r="DZ255" s="740"/>
      <c r="EA255" s="740"/>
      <c r="EB255" s="740"/>
      <c r="EC255" s="740"/>
      <c r="ED255" s="740"/>
      <c r="EE255" s="740"/>
      <c r="EF255" s="740"/>
      <c r="EG255" s="740"/>
      <c r="EH255" s="740"/>
      <c r="EI255" s="740"/>
      <c r="EJ255" s="740"/>
      <c r="EK255" s="740"/>
      <c r="EL255" s="740"/>
      <c r="EM255" s="740"/>
      <c r="EN255" s="740"/>
      <c r="EO255" s="740"/>
      <c r="EP255" s="740"/>
      <c r="EQ255" s="740"/>
      <c r="ER255" s="740"/>
      <c r="ES255" s="740"/>
      <c r="ET255" s="740"/>
      <c r="EU255" s="740"/>
      <c r="EV255" s="740"/>
      <c r="EW255" s="740"/>
      <c r="EX255" s="740"/>
      <c r="EY255" s="740"/>
      <c r="EZ255" s="740"/>
      <c r="FA255" s="740"/>
      <c r="FB255" s="740"/>
      <c r="FC255" s="740"/>
      <c r="FD255" s="740"/>
      <c r="FE255" s="740"/>
      <c r="FF255" s="740"/>
      <c r="FG255" s="740"/>
      <c r="FH255" s="740"/>
      <c r="FI255" s="740"/>
      <c r="FJ255" s="740"/>
      <c r="FK255" s="740"/>
      <c r="FL255" s="740"/>
      <c r="FM255" s="740"/>
      <c r="FN255" s="740"/>
      <c r="FO255" s="740"/>
      <c r="FP255" s="740"/>
      <c r="FQ255" s="740"/>
      <c r="FR255" s="740"/>
      <c r="FS255" s="740"/>
      <c r="FT255" s="740"/>
      <c r="FU255" s="740"/>
      <c r="FV255" s="740"/>
      <c r="FW255" s="740"/>
      <c r="FX255" s="740"/>
      <c r="FY255" s="740"/>
      <c r="FZ255" s="740"/>
      <c r="GA255" s="740"/>
      <c r="GB255" s="740"/>
      <c r="GC255" s="740"/>
      <c r="GD255" s="740"/>
      <c r="GE255" s="740"/>
      <c r="GF255" s="740"/>
      <c r="GG255" s="740"/>
      <c r="GH255" s="740"/>
      <c r="GI255" s="740"/>
      <c r="GJ255" s="740"/>
      <c r="GK255" s="740"/>
      <c r="GL255" s="740"/>
      <c r="GM255" s="740"/>
      <c r="GN255" s="740"/>
      <c r="GO255" s="740"/>
      <c r="GP255" s="740"/>
      <c r="GQ255" s="740"/>
      <c r="GR255" s="740"/>
      <c r="GS255" s="740"/>
      <c r="GT255" s="740"/>
      <c r="GU255" s="740"/>
      <c r="GV255" s="740"/>
      <c r="GW255" s="740"/>
    </row>
    <row r="256" spans="18:205" ht="24" customHeight="1" x14ac:dyDescent="0.2">
      <c r="R256" s="740"/>
      <c r="S256" s="740"/>
      <c r="T256" s="740"/>
      <c r="U256" s="740"/>
      <c r="V256" s="740"/>
      <c r="W256" s="740"/>
      <c r="X256" s="740"/>
      <c r="Y256" s="740"/>
      <c r="Z256" s="740"/>
      <c r="AA256" s="740"/>
      <c r="AB256" s="740"/>
      <c r="AC256" s="740"/>
      <c r="AD256" s="740"/>
      <c r="AE256" s="740"/>
      <c r="AF256" s="740"/>
      <c r="AG256" s="740"/>
      <c r="AH256" s="740"/>
      <c r="AI256" s="740"/>
      <c r="AJ256" s="740"/>
      <c r="AK256" s="740"/>
      <c r="AL256" s="740"/>
      <c r="AM256" s="740"/>
      <c r="AN256" s="740"/>
      <c r="AO256" s="740"/>
      <c r="AP256" s="740"/>
      <c r="AQ256" s="740"/>
      <c r="AR256" s="740"/>
      <c r="AS256" s="740"/>
      <c r="AT256" s="740"/>
      <c r="AU256" s="740"/>
      <c r="AV256" s="740"/>
      <c r="AW256" s="740"/>
      <c r="AX256" s="740"/>
      <c r="AY256" s="740"/>
      <c r="AZ256" s="740"/>
      <c r="BA256" s="740"/>
      <c r="BB256" s="740"/>
      <c r="BC256" s="740"/>
      <c r="BD256" s="740"/>
      <c r="BE256" s="740"/>
      <c r="BF256" s="740"/>
      <c r="BG256" s="740"/>
      <c r="BH256" s="740"/>
      <c r="BI256" s="740"/>
      <c r="BJ256" s="740"/>
      <c r="BK256" s="740"/>
      <c r="BL256" s="740"/>
      <c r="BM256" s="740"/>
      <c r="BN256" s="740"/>
      <c r="BO256" s="740"/>
      <c r="BP256" s="740"/>
      <c r="BQ256" s="740"/>
      <c r="BR256" s="740"/>
      <c r="BS256" s="740"/>
      <c r="BT256" s="740"/>
      <c r="BU256" s="740"/>
      <c r="BV256" s="740"/>
      <c r="BW256" s="740"/>
      <c r="BX256" s="740"/>
      <c r="BY256" s="740"/>
      <c r="BZ256" s="740"/>
      <c r="CA256" s="740"/>
      <c r="CB256" s="740"/>
      <c r="CC256" s="740"/>
      <c r="CD256" s="740"/>
      <c r="CE256" s="740"/>
      <c r="CF256" s="740"/>
      <c r="CG256" s="740"/>
      <c r="CH256" s="740"/>
      <c r="CI256" s="740"/>
      <c r="CJ256" s="740"/>
      <c r="CK256" s="740"/>
      <c r="CL256" s="740"/>
      <c r="CM256" s="740"/>
      <c r="CN256" s="740"/>
      <c r="CO256" s="740"/>
      <c r="CP256" s="740"/>
      <c r="CQ256" s="740"/>
      <c r="CR256" s="740"/>
      <c r="CS256" s="740"/>
      <c r="CT256" s="740"/>
      <c r="CU256" s="740"/>
      <c r="CV256" s="740"/>
      <c r="CW256" s="740"/>
      <c r="CX256" s="740"/>
      <c r="CY256" s="740"/>
      <c r="CZ256" s="740"/>
      <c r="DA256" s="740"/>
      <c r="DB256" s="740"/>
      <c r="DC256" s="740"/>
      <c r="DD256" s="740"/>
      <c r="DE256" s="740"/>
      <c r="DF256" s="740"/>
      <c r="DG256" s="740"/>
      <c r="DH256" s="740"/>
      <c r="DI256" s="740"/>
      <c r="DJ256" s="740"/>
      <c r="DK256" s="740"/>
      <c r="DL256" s="740"/>
      <c r="DM256" s="740"/>
      <c r="DN256" s="740"/>
      <c r="DO256" s="740"/>
      <c r="DP256" s="740"/>
      <c r="DQ256" s="740"/>
      <c r="DR256" s="740"/>
      <c r="DS256" s="740"/>
      <c r="DT256" s="740"/>
      <c r="DU256" s="740"/>
      <c r="DV256" s="740"/>
      <c r="DW256" s="740"/>
      <c r="DX256" s="740"/>
      <c r="DY256" s="740"/>
      <c r="DZ256" s="740"/>
      <c r="EA256" s="740"/>
      <c r="EB256" s="740"/>
      <c r="EC256" s="740"/>
      <c r="ED256" s="740"/>
      <c r="EE256" s="740"/>
      <c r="EF256" s="740"/>
      <c r="EG256" s="740"/>
      <c r="EH256" s="740"/>
      <c r="EI256" s="740"/>
      <c r="EJ256" s="740"/>
      <c r="EK256" s="740"/>
      <c r="EL256" s="740"/>
      <c r="EM256" s="740"/>
      <c r="EN256" s="740"/>
      <c r="EO256" s="740"/>
      <c r="EP256" s="740"/>
      <c r="EQ256" s="740"/>
      <c r="ER256" s="740"/>
      <c r="ES256" s="740"/>
      <c r="ET256" s="740"/>
      <c r="EU256" s="740"/>
      <c r="EV256" s="740"/>
      <c r="EW256" s="740"/>
      <c r="EX256" s="740"/>
      <c r="EY256" s="740"/>
      <c r="EZ256" s="740"/>
      <c r="FA256" s="740"/>
      <c r="FB256" s="740"/>
      <c r="FC256" s="740"/>
      <c r="FD256" s="740"/>
      <c r="FE256" s="740"/>
      <c r="FF256" s="740"/>
      <c r="FG256" s="740"/>
      <c r="FH256" s="740"/>
      <c r="FI256" s="740"/>
      <c r="FJ256" s="740"/>
      <c r="FK256" s="740"/>
      <c r="FL256" s="740"/>
      <c r="FM256" s="740"/>
      <c r="FN256" s="740"/>
      <c r="FO256" s="740"/>
      <c r="FP256" s="740"/>
      <c r="FQ256" s="740"/>
      <c r="FR256" s="740"/>
      <c r="FS256" s="740"/>
      <c r="FT256" s="740"/>
      <c r="FU256" s="740"/>
      <c r="FV256" s="740"/>
      <c r="FW256" s="740"/>
      <c r="FX256" s="740"/>
      <c r="FY256" s="740"/>
      <c r="FZ256" s="740"/>
      <c r="GA256" s="740"/>
      <c r="GB256" s="740"/>
      <c r="GC256" s="740"/>
      <c r="GD256" s="740"/>
      <c r="GE256" s="740"/>
      <c r="GF256" s="740"/>
      <c r="GG256" s="740"/>
      <c r="GH256" s="740"/>
      <c r="GI256" s="740"/>
      <c r="GJ256" s="740"/>
      <c r="GK256" s="740"/>
      <c r="GL256" s="740"/>
      <c r="GM256" s="740"/>
      <c r="GN256" s="740"/>
      <c r="GO256" s="740"/>
      <c r="GP256" s="740"/>
      <c r="GQ256" s="740"/>
      <c r="GR256" s="740"/>
      <c r="GS256" s="740"/>
      <c r="GT256" s="740"/>
      <c r="GU256" s="740"/>
      <c r="GV256" s="740"/>
      <c r="GW256" s="740"/>
    </row>
    <row r="257" spans="18:205" ht="24" customHeight="1" x14ac:dyDescent="0.2">
      <c r="R257" s="740"/>
      <c r="S257" s="740"/>
      <c r="T257" s="740"/>
      <c r="U257" s="740"/>
      <c r="V257" s="740"/>
      <c r="W257" s="740"/>
      <c r="X257" s="740"/>
      <c r="Y257" s="740"/>
      <c r="Z257" s="740"/>
      <c r="AA257" s="740"/>
      <c r="AB257" s="740"/>
      <c r="AC257" s="740"/>
      <c r="AD257" s="740"/>
      <c r="AE257" s="740"/>
      <c r="AF257" s="740"/>
      <c r="AG257" s="740"/>
      <c r="AH257" s="740"/>
      <c r="AI257" s="740"/>
      <c r="AJ257" s="740"/>
      <c r="AK257" s="740"/>
      <c r="AL257" s="740"/>
      <c r="AM257" s="740"/>
      <c r="AN257" s="740"/>
      <c r="AO257" s="740"/>
      <c r="AP257" s="740"/>
      <c r="AQ257" s="740"/>
      <c r="AR257" s="740"/>
      <c r="AS257" s="740"/>
      <c r="AT257" s="740"/>
      <c r="AU257" s="740"/>
      <c r="AV257" s="740"/>
      <c r="AW257" s="740"/>
      <c r="AX257" s="740"/>
      <c r="AY257" s="740"/>
      <c r="AZ257" s="740"/>
      <c r="BA257" s="740"/>
      <c r="BB257" s="740"/>
      <c r="BC257" s="740"/>
      <c r="BD257" s="740"/>
      <c r="BE257" s="740"/>
      <c r="BF257" s="740"/>
      <c r="BG257" s="740"/>
      <c r="BH257" s="740"/>
      <c r="BI257" s="740"/>
      <c r="BJ257" s="740"/>
      <c r="BK257" s="740"/>
      <c r="BL257" s="740"/>
      <c r="BM257" s="740"/>
      <c r="BN257" s="740"/>
      <c r="BO257" s="740"/>
      <c r="BP257" s="740"/>
      <c r="BQ257" s="740"/>
      <c r="BR257" s="740"/>
      <c r="BS257" s="740"/>
      <c r="BT257" s="740"/>
      <c r="BU257" s="740"/>
      <c r="BV257" s="740"/>
      <c r="BW257" s="740"/>
      <c r="BX257" s="740"/>
      <c r="BY257" s="740"/>
      <c r="BZ257" s="740"/>
      <c r="CA257" s="740"/>
      <c r="CB257" s="740"/>
      <c r="CC257" s="740"/>
      <c r="CD257" s="740"/>
      <c r="CE257" s="740"/>
      <c r="CF257" s="740"/>
      <c r="CG257" s="740"/>
      <c r="CH257" s="740"/>
      <c r="CI257" s="740"/>
      <c r="CJ257" s="740"/>
      <c r="CK257" s="740"/>
      <c r="CL257" s="740"/>
      <c r="CM257" s="740"/>
      <c r="CN257" s="740"/>
      <c r="CO257" s="740"/>
      <c r="CP257" s="740"/>
      <c r="CQ257" s="740"/>
      <c r="CR257" s="740"/>
      <c r="CS257" s="740"/>
      <c r="CT257" s="740"/>
      <c r="CU257" s="740"/>
      <c r="CV257" s="740"/>
      <c r="CW257" s="740"/>
      <c r="CX257" s="740"/>
      <c r="CY257" s="740"/>
      <c r="CZ257" s="740"/>
      <c r="DA257" s="740"/>
      <c r="DB257" s="740"/>
      <c r="DC257" s="740"/>
      <c r="DD257" s="740"/>
      <c r="DE257" s="740"/>
      <c r="DF257" s="740"/>
      <c r="DG257" s="740"/>
      <c r="DH257" s="740"/>
      <c r="DI257" s="740"/>
      <c r="DJ257" s="740"/>
      <c r="DK257" s="740"/>
      <c r="DL257" s="740"/>
      <c r="DM257" s="740"/>
      <c r="DN257" s="740"/>
      <c r="DO257" s="740"/>
      <c r="DP257" s="740"/>
      <c r="DQ257" s="740"/>
      <c r="DR257" s="740"/>
      <c r="DS257" s="740"/>
      <c r="DT257" s="740"/>
      <c r="DU257" s="740"/>
      <c r="DV257" s="740"/>
      <c r="DW257" s="740"/>
      <c r="DX257" s="740"/>
      <c r="DY257" s="740"/>
      <c r="DZ257" s="740"/>
      <c r="EA257" s="740"/>
      <c r="EB257" s="740"/>
      <c r="EC257" s="740"/>
      <c r="ED257" s="740"/>
      <c r="EE257" s="740"/>
      <c r="EF257" s="740"/>
      <c r="EG257" s="740"/>
      <c r="EH257" s="740"/>
      <c r="EI257" s="740"/>
      <c r="EJ257" s="740"/>
      <c r="EK257" s="740"/>
      <c r="EL257" s="740"/>
      <c r="EM257" s="740"/>
      <c r="EN257" s="740"/>
      <c r="EO257" s="740"/>
      <c r="EP257" s="740"/>
      <c r="EQ257" s="740"/>
      <c r="ER257" s="740"/>
      <c r="ES257" s="740"/>
      <c r="ET257" s="740"/>
      <c r="EU257" s="740"/>
      <c r="EV257" s="740"/>
      <c r="EW257" s="740"/>
      <c r="EX257" s="740"/>
      <c r="EY257" s="740"/>
      <c r="EZ257" s="740"/>
      <c r="FA257" s="740"/>
      <c r="FB257" s="740"/>
      <c r="FC257" s="740"/>
      <c r="FD257" s="740"/>
      <c r="FE257" s="740"/>
      <c r="FF257" s="740"/>
      <c r="FG257" s="740"/>
      <c r="FH257" s="740"/>
      <c r="FI257" s="740"/>
      <c r="FJ257" s="740"/>
      <c r="FK257" s="740"/>
      <c r="FL257" s="740"/>
      <c r="FM257" s="740"/>
      <c r="FN257" s="740"/>
      <c r="FO257" s="740"/>
      <c r="FP257" s="740"/>
      <c r="FQ257" s="740"/>
      <c r="FR257" s="740"/>
      <c r="FS257" s="740"/>
      <c r="FT257" s="740"/>
      <c r="FU257" s="740"/>
      <c r="FV257" s="740"/>
      <c r="FW257" s="740"/>
      <c r="FX257" s="740"/>
      <c r="FY257" s="740"/>
      <c r="FZ257" s="740"/>
      <c r="GA257" s="740"/>
      <c r="GB257" s="740"/>
      <c r="GC257" s="740"/>
      <c r="GD257" s="740"/>
      <c r="GE257" s="740"/>
      <c r="GF257" s="740"/>
      <c r="GG257" s="740"/>
      <c r="GH257" s="740"/>
      <c r="GI257" s="740"/>
      <c r="GJ257" s="740"/>
      <c r="GK257" s="740"/>
      <c r="GL257" s="740"/>
      <c r="GM257" s="740"/>
      <c r="GN257" s="740"/>
      <c r="GO257" s="740"/>
      <c r="GP257" s="740"/>
      <c r="GQ257" s="740"/>
      <c r="GR257" s="740"/>
      <c r="GS257" s="740"/>
      <c r="GT257" s="740"/>
      <c r="GU257" s="740"/>
      <c r="GV257" s="740"/>
      <c r="GW257" s="740"/>
    </row>
    <row r="258" spans="18:205" ht="24" customHeight="1" x14ac:dyDescent="0.2">
      <c r="R258" s="740"/>
      <c r="S258" s="740"/>
      <c r="T258" s="740"/>
      <c r="U258" s="740"/>
      <c r="V258" s="740"/>
      <c r="W258" s="740"/>
      <c r="X258" s="740"/>
      <c r="Y258" s="740"/>
      <c r="Z258" s="740"/>
      <c r="AA258" s="740"/>
      <c r="AB258" s="740"/>
      <c r="AC258" s="740"/>
      <c r="AD258" s="740"/>
      <c r="AE258" s="740"/>
      <c r="AF258" s="740"/>
      <c r="AG258" s="740"/>
      <c r="AH258" s="740"/>
      <c r="AI258" s="740"/>
      <c r="AJ258" s="740"/>
      <c r="AK258" s="740"/>
      <c r="AL258" s="740"/>
      <c r="AM258" s="740"/>
      <c r="AN258" s="740"/>
      <c r="AO258" s="740"/>
      <c r="AP258" s="740"/>
      <c r="AQ258" s="740"/>
      <c r="AR258" s="740"/>
      <c r="AS258" s="740"/>
      <c r="AT258" s="740"/>
      <c r="AU258" s="740"/>
      <c r="AV258" s="740"/>
      <c r="AW258" s="740"/>
      <c r="AX258" s="740"/>
      <c r="AY258" s="740"/>
      <c r="AZ258" s="740"/>
      <c r="BA258" s="740"/>
      <c r="BB258" s="740"/>
      <c r="BC258" s="740"/>
      <c r="BD258" s="740"/>
      <c r="BE258" s="740"/>
      <c r="BF258" s="740"/>
      <c r="BG258" s="740"/>
      <c r="BH258" s="740"/>
      <c r="BI258" s="740"/>
      <c r="BJ258" s="740"/>
      <c r="BK258" s="740"/>
      <c r="BL258" s="740"/>
      <c r="BM258" s="740"/>
      <c r="BN258" s="740"/>
      <c r="BO258" s="740"/>
      <c r="BP258" s="740"/>
      <c r="BQ258" s="740"/>
      <c r="BR258" s="740"/>
      <c r="BS258" s="740"/>
      <c r="BT258" s="740"/>
      <c r="BU258" s="740"/>
      <c r="BV258" s="740"/>
      <c r="BW258" s="740"/>
      <c r="BX258" s="740"/>
      <c r="BY258" s="740"/>
      <c r="BZ258" s="740"/>
      <c r="CA258" s="740"/>
      <c r="CB258" s="740"/>
      <c r="CC258" s="740"/>
      <c r="CD258" s="740"/>
      <c r="CE258" s="740"/>
      <c r="CF258" s="740"/>
      <c r="CG258" s="740"/>
      <c r="CH258" s="740"/>
      <c r="CI258" s="740"/>
      <c r="CJ258" s="740"/>
      <c r="CK258" s="740"/>
      <c r="CL258" s="740"/>
      <c r="CM258" s="740"/>
      <c r="CN258" s="740"/>
      <c r="CO258" s="740"/>
      <c r="CP258" s="740"/>
      <c r="CQ258" s="740"/>
      <c r="CR258" s="740"/>
      <c r="CS258" s="740"/>
      <c r="CT258" s="740"/>
      <c r="CU258" s="740"/>
      <c r="CV258" s="740"/>
      <c r="CW258" s="740"/>
      <c r="CX258" s="740"/>
      <c r="CY258" s="740"/>
      <c r="CZ258" s="740"/>
      <c r="DA258" s="740"/>
      <c r="DB258" s="740"/>
      <c r="DC258" s="740"/>
      <c r="DD258" s="740"/>
      <c r="DE258" s="740"/>
      <c r="DF258" s="740"/>
      <c r="DG258" s="740"/>
      <c r="DH258" s="740"/>
      <c r="DI258" s="740"/>
      <c r="DJ258" s="740"/>
      <c r="DK258" s="740"/>
      <c r="DL258" s="740"/>
      <c r="DM258" s="740"/>
      <c r="DN258" s="740"/>
      <c r="DO258" s="740"/>
      <c r="DP258" s="740"/>
      <c r="DQ258" s="740"/>
      <c r="DR258" s="740"/>
      <c r="DS258" s="740"/>
      <c r="DT258" s="740"/>
      <c r="DU258" s="740"/>
      <c r="DV258" s="740"/>
      <c r="DW258" s="740"/>
      <c r="DX258" s="740"/>
      <c r="DY258" s="740"/>
      <c r="DZ258" s="740"/>
      <c r="EA258" s="740"/>
      <c r="EB258" s="740"/>
      <c r="EC258" s="740"/>
      <c r="ED258" s="740"/>
      <c r="EE258" s="740"/>
      <c r="EF258" s="740"/>
      <c r="EG258" s="740"/>
      <c r="EH258" s="740"/>
      <c r="EI258" s="740"/>
      <c r="EJ258" s="740"/>
      <c r="EK258" s="740"/>
      <c r="EL258" s="740"/>
      <c r="EM258" s="740"/>
      <c r="EN258" s="740"/>
      <c r="EO258" s="740"/>
      <c r="EP258" s="740"/>
      <c r="EQ258" s="740"/>
      <c r="ER258" s="740"/>
      <c r="ES258" s="740"/>
      <c r="ET258" s="740"/>
      <c r="EU258" s="740"/>
      <c r="EV258" s="740"/>
      <c r="EW258" s="740"/>
      <c r="EX258" s="740"/>
      <c r="EY258" s="740"/>
      <c r="EZ258" s="740"/>
      <c r="FA258" s="740"/>
      <c r="FB258" s="740"/>
      <c r="FC258" s="740"/>
      <c r="FD258" s="740"/>
      <c r="FE258" s="740"/>
      <c r="FF258" s="740"/>
      <c r="FG258" s="740"/>
      <c r="FH258" s="740"/>
      <c r="FI258" s="740"/>
      <c r="FJ258" s="740"/>
      <c r="FK258" s="740"/>
      <c r="FL258" s="740"/>
      <c r="FM258" s="740"/>
      <c r="FN258" s="740"/>
      <c r="FO258" s="740"/>
      <c r="FP258" s="740"/>
      <c r="FQ258" s="740"/>
      <c r="FR258" s="740"/>
      <c r="FS258" s="740"/>
      <c r="FT258" s="740"/>
      <c r="FU258" s="740"/>
      <c r="FV258" s="740"/>
      <c r="FW258" s="740"/>
      <c r="FX258" s="740"/>
      <c r="FY258" s="740"/>
      <c r="FZ258" s="740"/>
      <c r="GA258" s="740"/>
      <c r="GB258" s="740"/>
      <c r="GC258" s="740"/>
      <c r="GD258" s="740"/>
      <c r="GE258" s="740"/>
      <c r="GF258" s="740"/>
      <c r="GG258" s="740"/>
      <c r="GH258" s="740"/>
      <c r="GI258" s="740"/>
      <c r="GJ258" s="740"/>
      <c r="GK258" s="740"/>
      <c r="GL258" s="740"/>
      <c r="GM258" s="740"/>
      <c r="GN258" s="740"/>
      <c r="GO258" s="740"/>
      <c r="GP258" s="740"/>
      <c r="GQ258" s="740"/>
      <c r="GR258" s="740"/>
      <c r="GS258" s="740"/>
      <c r="GT258" s="740"/>
      <c r="GU258" s="740"/>
      <c r="GV258" s="740"/>
      <c r="GW258" s="740"/>
    </row>
    <row r="259" spans="18:205" ht="24" customHeight="1" x14ac:dyDescent="0.2">
      <c r="R259" s="740"/>
      <c r="S259" s="740"/>
      <c r="T259" s="740"/>
      <c r="U259" s="740"/>
      <c r="V259" s="740"/>
      <c r="W259" s="740"/>
      <c r="X259" s="740"/>
      <c r="Y259" s="740"/>
      <c r="Z259" s="740"/>
      <c r="AA259" s="740"/>
      <c r="AB259" s="740"/>
      <c r="AC259" s="740"/>
      <c r="AD259" s="740"/>
      <c r="AE259" s="740"/>
      <c r="AF259" s="740"/>
      <c r="AG259" s="740"/>
      <c r="AH259" s="740"/>
      <c r="AI259" s="740"/>
      <c r="AJ259" s="740"/>
      <c r="AK259" s="740"/>
      <c r="AL259" s="740"/>
      <c r="AM259" s="740"/>
      <c r="AN259" s="740"/>
      <c r="AO259" s="740"/>
      <c r="AP259" s="740"/>
      <c r="AQ259" s="740"/>
      <c r="AR259" s="740"/>
      <c r="AS259" s="740"/>
      <c r="AT259" s="740"/>
      <c r="AU259" s="740"/>
      <c r="AV259" s="740"/>
      <c r="AW259" s="740"/>
      <c r="AX259" s="740"/>
      <c r="AY259" s="740"/>
      <c r="AZ259" s="740"/>
      <c r="BA259" s="740"/>
      <c r="BB259" s="740"/>
      <c r="BC259" s="740"/>
      <c r="BD259" s="740"/>
      <c r="BE259" s="740"/>
      <c r="BF259" s="740"/>
      <c r="BG259" s="740"/>
      <c r="BH259" s="740"/>
      <c r="BI259" s="740"/>
      <c r="BJ259" s="740"/>
      <c r="BK259" s="740"/>
      <c r="BL259" s="740"/>
      <c r="BM259" s="740"/>
      <c r="BN259" s="740"/>
      <c r="BO259" s="740"/>
      <c r="BP259" s="740"/>
      <c r="BQ259" s="740"/>
      <c r="BR259" s="740"/>
      <c r="BS259" s="740"/>
      <c r="BT259" s="740"/>
      <c r="BU259" s="740"/>
      <c r="BV259" s="740"/>
      <c r="BW259" s="740"/>
      <c r="BX259" s="740"/>
      <c r="BY259" s="740"/>
      <c r="BZ259" s="740"/>
      <c r="CA259" s="740"/>
      <c r="CB259" s="740"/>
      <c r="CC259" s="740"/>
      <c r="CD259" s="740"/>
      <c r="CE259" s="740"/>
      <c r="CF259" s="740"/>
      <c r="CG259" s="740"/>
      <c r="CH259" s="740"/>
      <c r="CI259" s="740"/>
      <c r="CJ259" s="740"/>
      <c r="CK259" s="740"/>
      <c r="CL259" s="740"/>
      <c r="CM259" s="740"/>
      <c r="CN259" s="740"/>
      <c r="CO259" s="740"/>
      <c r="CP259" s="740"/>
      <c r="CQ259" s="740"/>
      <c r="CR259" s="740"/>
      <c r="CS259" s="740"/>
      <c r="CT259" s="740"/>
      <c r="CU259" s="740"/>
      <c r="CV259" s="740"/>
      <c r="CW259" s="740"/>
      <c r="CX259" s="740"/>
      <c r="CY259" s="740"/>
      <c r="CZ259" s="740"/>
      <c r="DA259" s="740"/>
      <c r="DB259" s="740"/>
      <c r="DC259" s="740"/>
      <c r="DD259" s="740"/>
      <c r="DE259" s="740"/>
      <c r="DF259" s="740"/>
      <c r="DG259" s="740"/>
      <c r="DH259" s="740"/>
      <c r="DI259" s="740"/>
      <c r="DJ259" s="740"/>
      <c r="DK259" s="740"/>
      <c r="DL259" s="740"/>
      <c r="DM259" s="740"/>
      <c r="DN259" s="740"/>
      <c r="DO259" s="740"/>
      <c r="DP259" s="740"/>
      <c r="DQ259" s="740"/>
      <c r="DR259" s="740"/>
      <c r="DS259" s="740"/>
      <c r="DT259" s="740"/>
      <c r="DU259" s="740"/>
      <c r="DV259" s="740"/>
      <c r="DW259" s="740"/>
      <c r="DX259" s="740"/>
      <c r="DY259" s="740"/>
      <c r="DZ259" s="740"/>
      <c r="EA259" s="740"/>
      <c r="EB259" s="740"/>
      <c r="EC259" s="740"/>
      <c r="ED259" s="740"/>
      <c r="EE259" s="740"/>
      <c r="EF259" s="740"/>
      <c r="EG259" s="740"/>
      <c r="EH259" s="740"/>
      <c r="EI259" s="740"/>
      <c r="EJ259" s="740"/>
      <c r="EK259" s="740"/>
      <c r="EL259" s="740"/>
      <c r="EM259" s="740"/>
      <c r="EN259" s="740"/>
      <c r="EO259" s="740"/>
      <c r="EP259" s="740"/>
      <c r="EQ259" s="740"/>
      <c r="ER259" s="740"/>
      <c r="ES259" s="740"/>
      <c r="ET259" s="740"/>
      <c r="EU259" s="740"/>
      <c r="EV259" s="740"/>
      <c r="EW259" s="740"/>
      <c r="EX259" s="740"/>
      <c r="EY259" s="740"/>
      <c r="EZ259" s="740"/>
      <c r="FA259" s="740"/>
      <c r="FB259" s="740"/>
      <c r="FC259" s="740"/>
      <c r="FD259" s="740"/>
      <c r="FE259" s="740"/>
      <c r="FF259" s="740"/>
      <c r="FG259" s="740"/>
      <c r="FH259" s="740"/>
      <c r="FI259" s="740"/>
      <c r="FJ259" s="740"/>
      <c r="FK259" s="740"/>
      <c r="FL259" s="740"/>
      <c r="FM259" s="740"/>
      <c r="FN259" s="740"/>
      <c r="FO259" s="740"/>
      <c r="FP259" s="740"/>
      <c r="FQ259" s="740"/>
      <c r="FR259" s="740"/>
      <c r="FS259" s="740"/>
      <c r="FT259" s="740"/>
      <c r="FU259" s="740"/>
      <c r="FV259" s="740"/>
      <c r="FW259" s="740"/>
      <c r="FX259" s="740"/>
      <c r="FY259" s="740"/>
      <c r="FZ259" s="740"/>
      <c r="GA259" s="740"/>
      <c r="GB259" s="740"/>
      <c r="GC259" s="740"/>
      <c r="GD259" s="740"/>
      <c r="GE259" s="740"/>
      <c r="GF259" s="740"/>
      <c r="GG259" s="740"/>
      <c r="GH259" s="740"/>
      <c r="GI259" s="740"/>
      <c r="GJ259" s="740"/>
      <c r="GK259" s="740"/>
      <c r="GL259" s="740"/>
      <c r="GM259" s="740"/>
      <c r="GN259" s="740"/>
      <c r="GO259" s="740"/>
      <c r="GP259" s="740"/>
      <c r="GQ259" s="740"/>
      <c r="GR259" s="740"/>
      <c r="GS259" s="740"/>
      <c r="GT259" s="740"/>
      <c r="GU259" s="740"/>
      <c r="GV259" s="740"/>
      <c r="GW259" s="740"/>
    </row>
    <row r="260" spans="18:205" ht="24" customHeight="1" x14ac:dyDescent="0.2">
      <c r="R260" s="740"/>
      <c r="S260" s="740"/>
      <c r="T260" s="740"/>
      <c r="U260" s="740"/>
      <c r="V260" s="740"/>
      <c r="W260" s="740"/>
      <c r="X260" s="740"/>
      <c r="Y260" s="740"/>
      <c r="Z260" s="740"/>
      <c r="AA260" s="740"/>
      <c r="AB260" s="740"/>
      <c r="AC260" s="740"/>
      <c r="AD260" s="740"/>
      <c r="AE260" s="740"/>
      <c r="AF260" s="740"/>
      <c r="AG260" s="740"/>
      <c r="AH260" s="740"/>
      <c r="AI260" s="740"/>
      <c r="AJ260" s="740"/>
      <c r="AK260" s="740"/>
      <c r="AL260" s="740"/>
      <c r="AM260" s="740"/>
      <c r="AN260" s="740"/>
      <c r="AO260" s="740"/>
      <c r="AP260" s="740"/>
      <c r="AQ260" s="740"/>
      <c r="AR260" s="740"/>
      <c r="AS260" s="740"/>
      <c r="AT260" s="740"/>
      <c r="AU260" s="740"/>
      <c r="AV260" s="740"/>
      <c r="AW260" s="740"/>
      <c r="AX260" s="740"/>
      <c r="AY260" s="740"/>
      <c r="AZ260" s="740"/>
      <c r="BA260" s="740"/>
      <c r="BB260" s="740"/>
      <c r="BC260" s="740"/>
      <c r="BD260" s="740"/>
      <c r="BE260" s="740"/>
      <c r="BF260" s="740"/>
      <c r="BG260" s="740"/>
      <c r="BH260" s="740"/>
      <c r="BI260" s="740"/>
      <c r="BJ260" s="740"/>
      <c r="BK260" s="740"/>
      <c r="BL260" s="740"/>
      <c r="BM260" s="740"/>
      <c r="BN260" s="740"/>
      <c r="BO260" s="740"/>
      <c r="BP260" s="740"/>
      <c r="BQ260" s="740"/>
      <c r="BR260" s="740"/>
      <c r="BS260" s="740"/>
      <c r="BT260" s="740"/>
      <c r="BU260" s="740"/>
      <c r="BV260" s="740"/>
      <c r="BW260" s="740"/>
      <c r="BX260" s="740"/>
      <c r="BY260" s="740"/>
      <c r="BZ260" s="740"/>
      <c r="CA260" s="740"/>
      <c r="CB260" s="740"/>
      <c r="CC260" s="740"/>
      <c r="CD260" s="740"/>
      <c r="CE260" s="740"/>
      <c r="CF260" s="740"/>
      <c r="CG260" s="740"/>
      <c r="CH260" s="740"/>
      <c r="CI260" s="740"/>
      <c r="CJ260" s="740"/>
      <c r="CK260" s="740"/>
      <c r="CL260" s="740"/>
      <c r="CM260" s="740"/>
      <c r="CN260" s="740"/>
      <c r="CO260" s="740"/>
      <c r="CP260" s="740"/>
      <c r="CQ260" s="740"/>
      <c r="CR260" s="740"/>
      <c r="CS260" s="740"/>
      <c r="CT260" s="740"/>
      <c r="CU260" s="740"/>
      <c r="CV260" s="740"/>
      <c r="CW260" s="740"/>
      <c r="CX260" s="740"/>
      <c r="CY260" s="740"/>
      <c r="CZ260" s="740"/>
      <c r="DA260" s="740"/>
      <c r="DB260" s="740"/>
      <c r="DC260" s="740"/>
      <c r="DD260" s="740"/>
      <c r="DE260" s="740"/>
      <c r="DF260" s="740"/>
      <c r="DG260" s="740"/>
      <c r="DH260" s="740"/>
      <c r="DI260" s="740"/>
      <c r="DJ260" s="740"/>
      <c r="DK260" s="740"/>
      <c r="DL260" s="740"/>
      <c r="DM260" s="740"/>
      <c r="DN260" s="740"/>
      <c r="DO260" s="740"/>
      <c r="DP260" s="740"/>
      <c r="DQ260" s="740"/>
      <c r="DR260" s="740"/>
      <c r="DS260" s="740"/>
      <c r="DT260" s="740"/>
      <c r="DU260" s="740"/>
      <c r="DV260" s="740"/>
      <c r="DW260" s="740"/>
      <c r="DX260" s="740"/>
      <c r="DY260" s="740"/>
      <c r="DZ260" s="740"/>
      <c r="EA260" s="740"/>
      <c r="EB260" s="740"/>
      <c r="EC260" s="740"/>
      <c r="ED260" s="740"/>
      <c r="EE260" s="740"/>
      <c r="EF260" s="740"/>
      <c r="EG260" s="740"/>
      <c r="EH260" s="740"/>
      <c r="EI260" s="740"/>
      <c r="EJ260" s="740"/>
      <c r="EK260" s="740"/>
      <c r="EL260" s="740"/>
      <c r="EM260" s="740"/>
      <c r="EN260" s="740"/>
      <c r="EO260" s="740"/>
      <c r="EP260" s="740"/>
      <c r="EQ260" s="740"/>
      <c r="ER260" s="740"/>
      <c r="ES260" s="740"/>
      <c r="ET260" s="740"/>
      <c r="EU260" s="740"/>
      <c r="EV260" s="740"/>
      <c r="EW260" s="740"/>
      <c r="EX260" s="740"/>
      <c r="EY260" s="740"/>
      <c r="EZ260" s="740"/>
      <c r="FA260" s="740"/>
      <c r="FB260" s="740"/>
      <c r="FC260" s="740"/>
      <c r="FD260" s="740"/>
      <c r="FE260" s="740"/>
      <c r="FF260" s="740"/>
      <c r="FG260" s="740"/>
      <c r="FH260" s="740"/>
      <c r="FI260" s="740"/>
      <c r="FJ260" s="740"/>
      <c r="FK260" s="740"/>
      <c r="FL260" s="740"/>
      <c r="FM260" s="740"/>
      <c r="FN260" s="740"/>
      <c r="FO260" s="740"/>
      <c r="FP260" s="740"/>
      <c r="FQ260" s="740"/>
      <c r="FR260" s="740"/>
      <c r="FS260" s="740"/>
      <c r="FT260" s="740"/>
      <c r="FU260" s="740"/>
      <c r="FV260" s="740"/>
      <c r="FW260" s="740"/>
      <c r="FX260" s="740"/>
      <c r="FY260" s="740"/>
      <c r="FZ260" s="740"/>
      <c r="GA260" s="740"/>
      <c r="GB260" s="740"/>
      <c r="GC260" s="740"/>
      <c r="GD260" s="740"/>
      <c r="GE260" s="740"/>
      <c r="GF260" s="740"/>
      <c r="GG260" s="740"/>
      <c r="GH260" s="740"/>
      <c r="GI260" s="740"/>
      <c r="GJ260" s="740"/>
      <c r="GK260" s="740"/>
      <c r="GL260" s="740"/>
      <c r="GM260" s="740"/>
      <c r="GN260" s="740"/>
      <c r="GO260" s="740"/>
      <c r="GP260" s="740"/>
      <c r="GQ260" s="740"/>
      <c r="GR260" s="740"/>
      <c r="GS260" s="740"/>
      <c r="GT260" s="740"/>
      <c r="GU260" s="740"/>
      <c r="GV260" s="740"/>
      <c r="GW260" s="740"/>
    </row>
    <row r="261" spans="18:205" ht="24" customHeight="1" x14ac:dyDescent="0.2">
      <c r="R261" s="740"/>
      <c r="S261" s="740"/>
      <c r="T261" s="740"/>
      <c r="U261" s="740"/>
      <c r="V261" s="740"/>
      <c r="W261" s="740"/>
      <c r="X261" s="740"/>
      <c r="Y261" s="740"/>
      <c r="Z261" s="740"/>
      <c r="AA261" s="740"/>
      <c r="AB261" s="740"/>
      <c r="AC261" s="740"/>
      <c r="AD261" s="740"/>
      <c r="AE261" s="740"/>
      <c r="AF261" s="740"/>
      <c r="AG261" s="740"/>
      <c r="AH261" s="740"/>
      <c r="AI261" s="740"/>
      <c r="AJ261" s="740"/>
      <c r="AK261" s="740"/>
      <c r="AL261" s="740"/>
      <c r="AM261" s="740"/>
      <c r="AN261" s="740"/>
      <c r="AO261" s="740"/>
      <c r="AP261" s="740"/>
      <c r="AQ261" s="740"/>
      <c r="AR261" s="740"/>
      <c r="AS261" s="740"/>
      <c r="AT261" s="740"/>
      <c r="AU261" s="740"/>
      <c r="AV261" s="740"/>
      <c r="AW261" s="740"/>
      <c r="AX261" s="740"/>
      <c r="AY261" s="740"/>
      <c r="AZ261" s="740"/>
      <c r="BA261" s="740"/>
      <c r="BB261" s="740"/>
      <c r="BC261" s="740"/>
      <c r="BD261" s="740"/>
      <c r="BE261" s="740"/>
      <c r="BF261" s="740"/>
      <c r="BG261" s="740"/>
      <c r="BH261" s="740"/>
      <c r="BI261" s="740"/>
      <c r="BJ261" s="740"/>
      <c r="BK261" s="740"/>
      <c r="BL261" s="740"/>
      <c r="BM261" s="740"/>
      <c r="BN261" s="740"/>
      <c r="BO261" s="740"/>
      <c r="BP261" s="740"/>
      <c r="BQ261" s="740"/>
      <c r="BR261" s="740"/>
      <c r="BS261" s="740"/>
      <c r="BT261" s="740"/>
      <c r="BU261" s="740"/>
      <c r="BV261" s="740"/>
      <c r="BW261" s="740"/>
      <c r="BX261" s="740"/>
      <c r="BY261" s="740"/>
      <c r="BZ261" s="740"/>
      <c r="CA261" s="740"/>
      <c r="CB261" s="740"/>
      <c r="CC261" s="740"/>
      <c r="CD261" s="740"/>
      <c r="CE261" s="740"/>
      <c r="CF261" s="740"/>
      <c r="CG261" s="740"/>
      <c r="CH261" s="740"/>
      <c r="CI261" s="740"/>
      <c r="CJ261" s="740"/>
      <c r="CK261" s="740"/>
      <c r="CL261" s="740"/>
      <c r="CM261" s="740"/>
      <c r="CN261" s="740"/>
      <c r="CO261" s="740"/>
      <c r="CP261" s="740"/>
      <c r="CQ261" s="740"/>
      <c r="CR261" s="740"/>
      <c r="CS261" s="740"/>
      <c r="CT261" s="740"/>
      <c r="CU261" s="740"/>
      <c r="CV261" s="740"/>
      <c r="CW261" s="740"/>
      <c r="CX261" s="740"/>
      <c r="CY261" s="740"/>
      <c r="CZ261" s="740"/>
      <c r="DA261" s="740"/>
      <c r="DB261" s="740"/>
      <c r="DC261" s="740"/>
      <c r="DD261" s="740"/>
      <c r="DE261" s="740"/>
      <c r="DF261" s="740"/>
      <c r="DG261" s="740"/>
      <c r="DH261" s="740"/>
      <c r="DI261" s="740"/>
      <c r="DJ261" s="740"/>
      <c r="DK261" s="740"/>
      <c r="DL261" s="740"/>
      <c r="DM261" s="740"/>
      <c r="DN261" s="740"/>
      <c r="DO261" s="740"/>
      <c r="DP261" s="740"/>
      <c r="DQ261" s="740"/>
      <c r="DR261" s="740"/>
      <c r="DS261" s="740"/>
      <c r="DT261" s="740"/>
      <c r="DU261" s="740"/>
      <c r="DV261" s="740"/>
      <c r="DW261" s="740"/>
      <c r="DX261" s="740"/>
      <c r="DY261" s="740"/>
      <c r="DZ261" s="740"/>
      <c r="EA261" s="740"/>
      <c r="EB261" s="740"/>
      <c r="EC261" s="740"/>
      <c r="ED261" s="740"/>
      <c r="EE261" s="740"/>
      <c r="EF261" s="740"/>
      <c r="EG261" s="740"/>
      <c r="EH261" s="740"/>
      <c r="EI261" s="740"/>
      <c r="EJ261" s="740"/>
      <c r="EK261" s="740"/>
      <c r="EL261" s="740"/>
      <c r="EM261" s="740"/>
      <c r="EN261" s="740"/>
      <c r="EO261" s="740"/>
      <c r="EP261" s="740"/>
      <c r="EQ261" s="740"/>
      <c r="ER261" s="740"/>
      <c r="ES261" s="740"/>
      <c r="ET261" s="740"/>
      <c r="EU261" s="740"/>
      <c r="EV261" s="740"/>
      <c r="EW261" s="740"/>
      <c r="EX261" s="740"/>
      <c r="EY261" s="740"/>
      <c r="EZ261" s="740"/>
      <c r="FA261" s="740"/>
      <c r="FB261" s="740"/>
      <c r="FC261" s="740"/>
      <c r="FD261" s="740"/>
      <c r="FE261" s="740"/>
      <c r="FF261" s="740"/>
      <c r="FG261" s="740"/>
      <c r="FH261" s="740"/>
      <c r="FI261" s="740"/>
      <c r="FJ261" s="740"/>
      <c r="FK261" s="740"/>
      <c r="FL261" s="740"/>
      <c r="FM261" s="740"/>
      <c r="FN261" s="740"/>
      <c r="FO261" s="740"/>
      <c r="FP261" s="740"/>
      <c r="FQ261" s="740"/>
      <c r="FR261" s="740"/>
      <c r="FS261" s="740"/>
      <c r="FT261" s="740"/>
      <c r="FU261" s="740"/>
      <c r="FV261" s="740"/>
      <c r="FW261" s="740"/>
      <c r="FX261" s="740"/>
      <c r="FY261" s="740"/>
      <c r="FZ261" s="740"/>
      <c r="GA261" s="740"/>
      <c r="GB261" s="740"/>
      <c r="GC261" s="740"/>
      <c r="GD261" s="740"/>
      <c r="GE261" s="740"/>
      <c r="GF261" s="740"/>
      <c r="GG261" s="740"/>
      <c r="GH261" s="740"/>
      <c r="GI261" s="740"/>
      <c r="GJ261" s="740"/>
      <c r="GK261" s="740"/>
      <c r="GL261" s="740"/>
      <c r="GM261" s="740"/>
      <c r="GN261" s="740"/>
      <c r="GO261" s="740"/>
      <c r="GP261" s="740"/>
      <c r="GQ261" s="740"/>
      <c r="GR261" s="740"/>
      <c r="GS261" s="740"/>
      <c r="GT261" s="740"/>
      <c r="GU261" s="740"/>
      <c r="GV261" s="740"/>
      <c r="GW261" s="740"/>
    </row>
    <row r="262" spans="18:205" ht="24" customHeight="1" x14ac:dyDescent="0.2">
      <c r="R262" s="740"/>
      <c r="S262" s="740"/>
      <c r="T262" s="740"/>
      <c r="U262" s="740"/>
      <c r="V262" s="740"/>
      <c r="W262" s="740"/>
      <c r="X262" s="740"/>
      <c r="Y262" s="740"/>
      <c r="Z262" s="740"/>
      <c r="AA262" s="740"/>
      <c r="AB262" s="740"/>
      <c r="AC262" s="740"/>
      <c r="AD262" s="740"/>
      <c r="AE262" s="740"/>
      <c r="AF262" s="740"/>
      <c r="AG262" s="740"/>
      <c r="AH262" s="740"/>
      <c r="AI262" s="740"/>
      <c r="AJ262" s="740"/>
      <c r="AK262" s="740"/>
      <c r="AL262" s="740"/>
      <c r="AM262" s="740"/>
      <c r="AN262" s="740"/>
      <c r="AO262" s="740"/>
      <c r="AP262" s="740"/>
      <c r="AQ262" s="740"/>
      <c r="AR262" s="740"/>
      <c r="AS262" s="740"/>
      <c r="AT262" s="740"/>
      <c r="AU262" s="740"/>
      <c r="AV262" s="740"/>
      <c r="AW262" s="740"/>
      <c r="AX262" s="740"/>
      <c r="AY262" s="740"/>
      <c r="AZ262" s="740"/>
      <c r="BA262" s="740"/>
      <c r="BB262" s="740"/>
      <c r="BC262" s="740"/>
      <c r="BD262" s="740"/>
      <c r="BE262" s="740"/>
      <c r="BF262" s="740"/>
      <c r="BG262" s="740"/>
      <c r="BH262" s="740"/>
      <c r="BI262" s="740"/>
      <c r="BJ262" s="740"/>
      <c r="BK262" s="740"/>
      <c r="BL262" s="740"/>
      <c r="BM262" s="740"/>
      <c r="BN262" s="740"/>
      <c r="BO262" s="740"/>
      <c r="BP262" s="740"/>
      <c r="BQ262" s="740"/>
      <c r="BR262" s="740"/>
      <c r="BS262" s="740"/>
      <c r="BT262" s="740"/>
      <c r="BU262" s="740"/>
      <c r="BV262" s="740"/>
      <c r="BW262" s="740"/>
      <c r="BX262" s="740"/>
      <c r="BY262" s="740"/>
      <c r="BZ262" s="740"/>
      <c r="CA262" s="740"/>
      <c r="CB262" s="740"/>
      <c r="CC262" s="740"/>
      <c r="CD262" s="740"/>
      <c r="CE262" s="740"/>
      <c r="CF262" s="740"/>
      <c r="CG262" s="740"/>
      <c r="CH262" s="740"/>
      <c r="CI262" s="740"/>
      <c r="CJ262" s="740"/>
      <c r="CK262" s="740"/>
      <c r="CL262" s="740"/>
      <c r="CM262" s="740"/>
      <c r="CN262" s="740"/>
      <c r="CO262" s="740"/>
      <c r="CP262" s="740"/>
      <c r="CQ262" s="740"/>
      <c r="CR262" s="740"/>
      <c r="CS262" s="740"/>
      <c r="CT262" s="740"/>
      <c r="CU262" s="740"/>
      <c r="CV262" s="740"/>
      <c r="CW262" s="740"/>
      <c r="CX262" s="740"/>
      <c r="CY262" s="740"/>
      <c r="CZ262" s="740"/>
      <c r="DA262" s="740"/>
      <c r="DB262" s="740"/>
      <c r="DC262" s="740"/>
      <c r="DD262" s="740"/>
      <c r="DE262" s="740"/>
      <c r="DF262" s="740"/>
      <c r="DG262" s="740"/>
      <c r="DH262" s="740"/>
      <c r="DI262" s="740"/>
      <c r="DJ262" s="740"/>
      <c r="DK262" s="740"/>
      <c r="DL262" s="740"/>
      <c r="DM262" s="740"/>
      <c r="DN262" s="740"/>
      <c r="DO262" s="740"/>
      <c r="DP262" s="740"/>
      <c r="DQ262" s="740"/>
      <c r="DR262" s="740"/>
      <c r="DS262" s="740"/>
      <c r="DT262" s="740"/>
      <c r="DU262" s="740"/>
      <c r="DV262" s="740"/>
      <c r="DW262" s="740"/>
      <c r="DX262" s="740"/>
      <c r="DY262" s="740"/>
      <c r="DZ262" s="740"/>
      <c r="EA262" s="740"/>
      <c r="EB262" s="740"/>
      <c r="EC262" s="740"/>
      <c r="ED262" s="740"/>
      <c r="EE262" s="740"/>
      <c r="EF262" s="740"/>
      <c r="EG262" s="740"/>
      <c r="EH262" s="740"/>
      <c r="EI262" s="740"/>
      <c r="EJ262" s="740"/>
      <c r="EK262" s="740"/>
      <c r="EL262" s="740"/>
      <c r="EM262" s="740"/>
      <c r="EN262" s="740"/>
      <c r="EO262" s="740"/>
      <c r="EP262" s="740"/>
      <c r="EQ262" s="740"/>
      <c r="ER262" s="740"/>
      <c r="ES262" s="740"/>
      <c r="ET262" s="740"/>
      <c r="EU262" s="740"/>
      <c r="EV262" s="740"/>
      <c r="EW262" s="740"/>
      <c r="EX262" s="740"/>
      <c r="EY262" s="740"/>
      <c r="EZ262" s="740"/>
      <c r="FA262" s="740"/>
      <c r="FB262" s="740"/>
      <c r="FC262" s="740"/>
      <c r="FD262" s="740"/>
      <c r="FE262" s="740"/>
      <c r="FF262" s="740"/>
      <c r="FG262" s="740"/>
      <c r="FH262" s="740"/>
      <c r="FI262" s="740"/>
      <c r="FJ262" s="740"/>
      <c r="FK262" s="740"/>
      <c r="FL262" s="740"/>
      <c r="FM262" s="740"/>
      <c r="FN262" s="740"/>
      <c r="FO262" s="740"/>
      <c r="FP262" s="740"/>
      <c r="FQ262" s="740"/>
      <c r="FR262" s="740"/>
      <c r="FS262" s="740"/>
      <c r="FT262" s="740"/>
      <c r="FU262" s="740"/>
      <c r="FV262" s="740"/>
      <c r="FW262" s="740"/>
      <c r="FX262" s="740"/>
      <c r="FY262" s="740"/>
      <c r="FZ262" s="740"/>
      <c r="GA262" s="740"/>
      <c r="GB262" s="740"/>
      <c r="GC262" s="740"/>
      <c r="GD262" s="740"/>
      <c r="GE262" s="740"/>
      <c r="GF262" s="740"/>
      <c r="GG262" s="740"/>
      <c r="GH262" s="740"/>
      <c r="GI262" s="740"/>
      <c r="GJ262" s="740"/>
      <c r="GK262" s="740"/>
      <c r="GL262" s="740"/>
      <c r="GM262" s="740"/>
      <c r="GN262" s="740"/>
      <c r="GO262" s="740"/>
      <c r="GP262" s="740"/>
      <c r="GQ262" s="740"/>
      <c r="GR262" s="740"/>
      <c r="GS262" s="740"/>
      <c r="GT262" s="740"/>
      <c r="GU262" s="740"/>
      <c r="GV262" s="740"/>
      <c r="GW262" s="740"/>
    </row>
    <row r="263" spans="18:205" ht="24" customHeight="1" x14ac:dyDescent="0.2">
      <c r="R263" s="740"/>
      <c r="S263" s="740"/>
      <c r="T263" s="740"/>
      <c r="U263" s="740"/>
      <c r="V263" s="740"/>
      <c r="W263" s="740"/>
      <c r="X263" s="740"/>
      <c r="Y263" s="740"/>
      <c r="Z263" s="740"/>
      <c r="AA263" s="740"/>
      <c r="AB263" s="740"/>
      <c r="AC263" s="740"/>
      <c r="AD263" s="740"/>
      <c r="AE263" s="740"/>
      <c r="AF263" s="740"/>
      <c r="AG263" s="740"/>
      <c r="AH263" s="740"/>
      <c r="AI263" s="740"/>
      <c r="AJ263" s="740"/>
      <c r="AK263" s="740"/>
      <c r="AL263" s="740"/>
      <c r="AM263" s="740"/>
      <c r="AN263" s="740"/>
      <c r="AO263" s="740"/>
      <c r="AP263" s="740"/>
      <c r="AQ263" s="740"/>
      <c r="AR263" s="740"/>
      <c r="AS263" s="740"/>
      <c r="AT263" s="740"/>
      <c r="AU263" s="740"/>
      <c r="AV263" s="740"/>
      <c r="AW263" s="740"/>
      <c r="AX263" s="740"/>
      <c r="AY263" s="740"/>
      <c r="AZ263" s="740"/>
      <c r="BA263" s="740"/>
      <c r="BB263" s="740"/>
      <c r="BC263" s="740"/>
      <c r="BD263" s="740"/>
      <c r="BE263" s="740"/>
      <c r="BF263" s="740"/>
      <c r="BG263" s="740"/>
      <c r="BH263" s="740"/>
      <c r="BI263" s="740"/>
      <c r="BJ263" s="740"/>
      <c r="BK263" s="740"/>
      <c r="BL263" s="740"/>
      <c r="BM263" s="740"/>
      <c r="BN263" s="740"/>
      <c r="BO263" s="740"/>
      <c r="BP263" s="740"/>
      <c r="BQ263" s="740"/>
      <c r="BR263" s="740"/>
      <c r="BS263" s="740"/>
      <c r="BT263" s="740"/>
      <c r="BU263" s="740"/>
      <c r="BV263" s="740"/>
      <c r="BW263" s="740"/>
      <c r="BX263" s="740"/>
      <c r="BY263" s="740"/>
      <c r="BZ263" s="740"/>
      <c r="CA263" s="740"/>
      <c r="CB263" s="740"/>
      <c r="CC263" s="740"/>
      <c r="CD263" s="740"/>
      <c r="CE263" s="740"/>
      <c r="CF263" s="740"/>
      <c r="CG263" s="740"/>
      <c r="CH263" s="740"/>
      <c r="CI263" s="740"/>
      <c r="CJ263" s="740"/>
      <c r="CK263" s="740"/>
      <c r="CL263" s="740"/>
      <c r="CM263" s="740"/>
      <c r="CN263" s="740"/>
      <c r="CO263" s="740"/>
      <c r="CP263" s="740"/>
      <c r="CQ263" s="740"/>
      <c r="CR263" s="740"/>
      <c r="CS263" s="740"/>
      <c r="CT263" s="740"/>
      <c r="CU263" s="740"/>
      <c r="CV263" s="740"/>
      <c r="CW263" s="740"/>
      <c r="CX263" s="740"/>
      <c r="CY263" s="740"/>
      <c r="CZ263" s="740"/>
      <c r="DA263" s="740"/>
      <c r="DB263" s="740"/>
      <c r="DC263" s="740"/>
      <c r="DD263" s="740"/>
      <c r="DE263" s="740"/>
      <c r="DF263" s="740"/>
      <c r="DG263" s="740"/>
      <c r="DH263" s="740"/>
      <c r="DI263" s="740"/>
      <c r="DJ263" s="740"/>
      <c r="DK263" s="740"/>
      <c r="DL263" s="740"/>
      <c r="DM263" s="740"/>
      <c r="DN263" s="740"/>
      <c r="DO263" s="740"/>
      <c r="DP263" s="740"/>
      <c r="DQ263" s="740"/>
      <c r="DR263" s="740"/>
      <c r="DS263" s="740"/>
      <c r="DT263" s="740"/>
      <c r="DU263" s="740"/>
      <c r="DV263" s="740"/>
      <c r="DW263" s="740"/>
      <c r="DX263" s="740"/>
      <c r="DY263" s="740"/>
      <c r="DZ263" s="740"/>
      <c r="EA263" s="740"/>
      <c r="EB263" s="740"/>
      <c r="EC263" s="740"/>
      <c r="ED263" s="740"/>
      <c r="EE263" s="740"/>
      <c r="EF263" s="740"/>
      <c r="EG263" s="740"/>
      <c r="EH263" s="740"/>
      <c r="EI263" s="740"/>
      <c r="EJ263" s="740"/>
      <c r="EK263" s="740"/>
      <c r="EL263" s="740"/>
      <c r="EM263" s="740"/>
      <c r="EN263" s="740"/>
      <c r="EO263" s="740"/>
      <c r="EP263" s="740"/>
      <c r="EQ263" s="740"/>
      <c r="ER263" s="740"/>
      <c r="ES263" s="740"/>
      <c r="ET263" s="740"/>
      <c r="EU263" s="740"/>
      <c r="EV263" s="740"/>
      <c r="EW263" s="740"/>
      <c r="EX263" s="740"/>
      <c r="EY263" s="740"/>
      <c r="EZ263" s="740"/>
      <c r="FA263" s="740"/>
      <c r="FB263" s="740"/>
      <c r="FC263" s="740"/>
      <c r="FD263" s="740"/>
      <c r="FE263" s="740"/>
      <c r="FF263" s="740"/>
      <c r="FG263" s="740"/>
      <c r="FH263" s="740"/>
      <c r="FI263" s="740"/>
      <c r="FJ263" s="740"/>
      <c r="FK263" s="740"/>
      <c r="FL263" s="740"/>
      <c r="FM263" s="740"/>
      <c r="FN263" s="740"/>
      <c r="FO263" s="740"/>
      <c r="FP263" s="740"/>
      <c r="FQ263" s="740"/>
      <c r="FR263" s="740"/>
      <c r="FS263" s="740"/>
      <c r="FT263" s="740"/>
      <c r="FU263" s="740"/>
      <c r="FV263" s="740"/>
      <c r="FW263" s="740"/>
      <c r="FX263" s="740"/>
      <c r="FY263" s="740"/>
      <c r="FZ263" s="740"/>
      <c r="GA263" s="740"/>
      <c r="GB263" s="740"/>
      <c r="GC263" s="740"/>
      <c r="GD263" s="740"/>
      <c r="GE263" s="740"/>
      <c r="GF263" s="740"/>
      <c r="GG263" s="740"/>
      <c r="GH263" s="740"/>
      <c r="GI263" s="740"/>
      <c r="GJ263" s="740"/>
      <c r="GK263" s="740"/>
      <c r="GL263" s="740"/>
      <c r="GM263" s="740"/>
      <c r="GN263" s="740"/>
      <c r="GO263" s="740"/>
      <c r="GP263" s="740"/>
      <c r="GQ263" s="740"/>
      <c r="GR263" s="740"/>
      <c r="GS263" s="740"/>
      <c r="GT263" s="740"/>
      <c r="GU263" s="740"/>
      <c r="GV263" s="740"/>
      <c r="GW263" s="740"/>
    </row>
    <row r="264" spans="18:205" ht="24" customHeight="1" x14ac:dyDescent="0.2">
      <c r="R264" s="740"/>
      <c r="S264" s="740"/>
      <c r="T264" s="740"/>
      <c r="U264" s="740"/>
      <c r="V264" s="740"/>
      <c r="W264" s="740"/>
      <c r="X264" s="740"/>
      <c r="Y264" s="740"/>
      <c r="Z264" s="740"/>
      <c r="AA264" s="740"/>
      <c r="AB264" s="740"/>
      <c r="AC264" s="740"/>
      <c r="AD264" s="740"/>
      <c r="AE264" s="740"/>
      <c r="AF264" s="740"/>
      <c r="AG264" s="740"/>
      <c r="AH264" s="740"/>
      <c r="AI264" s="740"/>
      <c r="AJ264" s="740"/>
      <c r="AK264" s="740"/>
      <c r="AL264" s="740"/>
      <c r="AM264" s="740"/>
      <c r="AN264" s="740"/>
      <c r="AO264" s="740"/>
      <c r="AP264" s="740"/>
      <c r="AQ264" s="740"/>
      <c r="AR264" s="740"/>
      <c r="AS264" s="740"/>
      <c r="AT264" s="740"/>
      <c r="AU264" s="740"/>
      <c r="AV264" s="740"/>
      <c r="AW264" s="740"/>
      <c r="AX264" s="740"/>
      <c r="AY264" s="740"/>
      <c r="AZ264" s="740"/>
      <c r="BA264" s="740"/>
      <c r="BB264" s="740"/>
      <c r="BC264" s="740"/>
      <c r="BD264" s="740"/>
      <c r="BE264" s="740"/>
      <c r="BF264" s="740"/>
      <c r="BG264" s="740"/>
      <c r="BH264" s="740"/>
      <c r="BI264" s="740"/>
      <c r="BJ264" s="740"/>
      <c r="BK264" s="740"/>
      <c r="BL264" s="740"/>
      <c r="BM264" s="740"/>
      <c r="BN264" s="740"/>
      <c r="BO264" s="740"/>
      <c r="BP264" s="740"/>
      <c r="BQ264" s="740"/>
      <c r="BR264" s="740"/>
      <c r="BS264" s="740"/>
      <c r="BT264" s="740"/>
      <c r="BU264" s="740"/>
      <c r="BV264" s="740"/>
      <c r="BW264" s="740"/>
      <c r="BX264" s="740"/>
      <c r="BY264" s="740"/>
      <c r="BZ264" s="740"/>
      <c r="CA264" s="740"/>
      <c r="CB264" s="740"/>
      <c r="CC264" s="740"/>
      <c r="CD264" s="740"/>
      <c r="CE264" s="740"/>
      <c r="CF264" s="740"/>
      <c r="CG264" s="740"/>
      <c r="CH264" s="740"/>
      <c r="CI264" s="740"/>
      <c r="CJ264" s="740"/>
      <c r="CK264" s="740"/>
      <c r="CL264" s="740"/>
      <c r="CM264" s="740"/>
      <c r="CN264" s="740"/>
      <c r="CO264" s="740"/>
      <c r="CP264" s="740"/>
      <c r="CQ264" s="740"/>
      <c r="CR264" s="740"/>
      <c r="CS264" s="740"/>
      <c r="CT264" s="740"/>
      <c r="CU264" s="740"/>
      <c r="CV264" s="740"/>
      <c r="CW264" s="740"/>
      <c r="CX264" s="740"/>
      <c r="CY264" s="740"/>
      <c r="CZ264" s="740"/>
      <c r="DA264" s="740"/>
      <c r="DB264" s="740"/>
      <c r="DC264" s="740"/>
      <c r="DD264" s="740"/>
      <c r="DE264" s="740"/>
      <c r="DF264" s="740"/>
      <c r="DG264" s="740"/>
      <c r="DH264" s="740"/>
      <c r="DI264" s="740"/>
      <c r="DJ264" s="740"/>
      <c r="DK264" s="740"/>
      <c r="DL264" s="740"/>
      <c r="DM264" s="740"/>
      <c r="DN264" s="740"/>
      <c r="DO264" s="740"/>
      <c r="DP264" s="740"/>
      <c r="DQ264" s="740"/>
      <c r="DR264" s="740"/>
      <c r="DS264" s="740"/>
      <c r="DT264" s="740"/>
      <c r="DU264" s="740"/>
      <c r="DV264" s="740"/>
      <c r="DW264" s="740"/>
      <c r="DX264" s="740"/>
      <c r="DY264" s="740"/>
      <c r="DZ264" s="740"/>
      <c r="EA264" s="740"/>
      <c r="EB264" s="740"/>
      <c r="EC264" s="740"/>
      <c r="ED264" s="740"/>
      <c r="EE264" s="740"/>
      <c r="EF264" s="740"/>
      <c r="EG264" s="740"/>
      <c r="EH264" s="740"/>
      <c r="EI264" s="740"/>
      <c r="EJ264" s="740"/>
      <c r="EK264" s="740"/>
      <c r="EL264" s="740"/>
      <c r="EM264" s="740"/>
      <c r="EN264" s="740"/>
      <c r="EO264" s="740"/>
      <c r="EP264" s="740"/>
      <c r="EQ264" s="740"/>
      <c r="ER264" s="740"/>
      <c r="ES264" s="740"/>
      <c r="ET264" s="740"/>
      <c r="EU264" s="740"/>
      <c r="EV264" s="740"/>
      <c r="EW264" s="740"/>
      <c r="EX264" s="740"/>
      <c r="EY264" s="740"/>
      <c r="EZ264" s="740"/>
      <c r="FA264" s="740"/>
      <c r="FB264" s="740"/>
      <c r="FC264" s="740"/>
      <c r="FD264" s="740"/>
      <c r="FE264" s="740"/>
      <c r="FF264" s="740"/>
      <c r="FG264" s="740"/>
      <c r="FH264" s="740"/>
      <c r="FI264" s="740"/>
      <c r="FJ264" s="740"/>
      <c r="FK264" s="740"/>
      <c r="FL264" s="740"/>
      <c r="FM264" s="740"/>
      <c r="FN264" s="740"/>
      <c r="FO264" s="740"/>
      <c r="FP264" s="740"/>
      <c r="FQ264" s="740"/>
      <c r="FR264" s="740"/>
      <c r="FS264" s="740"/>
      <c r="FT264" s="740"/>
      <c r="FU264" s="740"/>
      <c r="FV264" s="740"/>
      <c r="FW264" s="740"/>
      <c r="FX264" s="740"/>
      <c r="FY264" s="740"/>
      <c r="FZ264" s="740"/>
      <c r="GA264" s="740"/>
      <c r="GB264" s="740"/>
      <c r="GC264" s="740"/>
      <c r="GD264" s="740"/>
      <c r="GE264" s="740"/>
      <c r="GF264" s="740"/>
      <c r="GG264" s="740"/>
      <c r="GH264" s="740"/>
      <c r="GI264" s="740"/>
      <c r="GJ264" s="740"/>
      <c r="GK264" s="740"/>
      <c r="GL264" s="740"/>
      <c r="GM264" s="740"/>
      <c r="GN264" s="740"/>
      <c r="GO264" s="740"/>
      <c r="GP264" s="740"/>
      <c r="GQ264" s="740"/>
      <c r="GR264" s="740"/>
      <c r="GS264" s="740"/>
      <c r="GT264" s="740"/>
      <c r="GU264" s="740"/>
      <c r="GV264" s="740"/>
      <c r="GW264" s="740"/>
    </row>
    <row r="265" spans="18:205" ht="24" customHeight="1" x14ac:dyDescent="0.2">
      <c r="R265" s="740"/>
      <c r="S265" s="740"/>
      <c r="T265" s="740"/>
      <c r="U265" s="740"/>
      <c r="V265" s="740"/>
      <c r="W265" s="740"/>
      <c r="X265" s="740"/>
      <c r="Y265" s="740"/>
      <c r="Z265" s="740"/>
      <c r="AA265" s="740"/>
      <c r="AB265" s="740"/>
      <c r="AC265" s="740"/>
      <c r="AD265" s="740"/>
      <c r="AE265" s="740"/>
      <c r="AF265" s="740"/>
      <c r="AG265" s="740"/>
      <c r="AH265" s="740"/>
      <c r="AI265" s="740"/>
      <c r="AJ265" s="740"/>
      <c r="AK265" s="740"/>
      <c r="AL265" s="740"/>
      <c r="AM265" s="740"/>
      <c r="AN265" s="740"/>
      <c r="AO265" s="740"/>
      <c r="AP265" s="740"/>
      <c r="AQ265" s="740"/>
      <c r="AR265" s="740"/>
      <c r="AS265" s="740"/>
      <c r="AT265" s="740"/>
      <c r="AU265" s="740"/>
      <c r="AV265" s="740"/>
      <c r="AW265" s="740"/>
      <c r="AX265" s="740"/>
      <c r="AY265" s="740"/>
      <c r="AZ265" s="740"/>
      <c r="BA265" s="740"/>
      <c r="BB265" s="740"/>
      <c r="BC265" s="740"/>
      <c r="BD265" s="740"/>
      <c r="BE265" s="740"/>
      <c r="BF265" s="740"/>
      <c r="BG265" s="740"/>
      <c r="BH265" s="740"/>
      <c r="BI265" s="740"/>
      <c r="BJ265" s="740"/>
      <c r="BK265" s="740"/>
      <c r="BL265" s="740"/>
      <c r="BM265" s="740"/>
      <c r="BN265" s="740"/>
      <c r="BO265" s="740"/>
      <c r="BP265" s="740"/>
      <c r="BQ265" s="740"/>
      <c r="BR265" s="740"/>
      <c r="BS265" s="740"/>
      <c r="BT265" s="740"/>
      <c r="BU265" s="740"/>
      <c r="BV265" s="740"/>
      <c r="BW265" s="740"/>
      <c r="BX265" s="740"/>
      <c r="BY265" s="740"/>
      <c r="BZ265" s="740"/>
      <c r="CA265" s="740"/>
      <c r="CB265" s="740"/>
      <c r="CC265" s="740"/>
      <c r="CD265" s="740"/>
      <c r="CE265" s="740"/>
      <c r="CF265" s="740"/>
      <c r="CG265" s="740"/>
      <c r="CH265" s="740"/>
      <c r="CI265" s="740"/>
      <c r="CJ265" s="740"/>
      <c r="CK265" s="740"/>
      <c r="CL265" s="740"/>
      <c r="CM265" s="740"/>
      <c r="CN265" s="740"/>
      <c r="CO265" s="740"/>
      <c r="CP265" s="740"/>
      <c r="CQ265" s="740"/>
      <c r="CR265" s="740"/>
      <c r="CS265" s="740"/>
      <c r="CT265" s="740"/>
      <c r="CU265" s="740"/>
      <c r="CV265" s="740"/>
      <c r="CW265" s="740"/>
      <c r="CX265" s="740"/>
      <c r="CY265" s="740"/>
      <c r="CZ265" s="740"/>
      <c r="DA265" s="740"/>
      <c r="DB265" s="740"/>
      <c r="DC265" s="740"/>
      <c r="DD265" s="740"/>
      <c r="DE265" s="740"/>
      <c r="DF265" s="740"/>
      <c r="DG265" s="740"/>
      <c r="DH265" s="740"/>
      <c r="DI265" s="740"/>
      <c r="DJ265" s="740"/>
      <c r="DK265" s="740"/>
      <c r="DL265" s="740"/>
      <c r="DM265" s="740"/>
      <c r="DN265" s="740"/>
      <c r="DO265" s="740"/>
      <c r="DP265" s="740"/>
      <c r="DQ265" s="740"/>
      <c r="DR265" s="740"/>
      <c r="DS265" s="740"/>
      <c r="DT265" s="740"/>
      <c r="DU265" s="740"/>
      <c r="DV265" s="740"/>
      <c r="DW265" s="740"/>
      <c r="DX265" s="740"/>
      <c r="DY265" s="740"/>
      <c r="DZ265" s="740"/>
      <c r="EA265" s="740"/>
      <c r="EB265" s="740"/>
      <c r="EC265" s="740"/>
      <c r="ED265" s="740"/>
      <c r="EE265" s="740"/>
      <c r="EF265" s="740"/>
      <c r="EG265" s="740"/>
      <c r="EH265" s="740"/>
      <c r="EI265" s="740"/>
      <c r="EJ265" s="740"/>
      <c r="EK265" s="740"/>
      <c r="EL265" s="740"/>
      <c r="EM265" s="740"/>
      <c r="EN265" s="740"/>
      <c r="EO265" s="740"/>
      <c r="EP265" s="740"/>
      <c r="EQ265" s="740"/>
      <c r="ER265" s="740"/>
      <c r="ES265" s="740"/>
      <c r="ET265" s="740"/>
      <c r="EU265" s="740"/>
      <c r="EV265" s="740"/>
      <c r="EW265" s="740"/>
      <c r="EX265" s="740"/>
      <c r="EY265" s="740"/>
      <c r="EZ265" s="740"/>
      <c r="FA265" s="740"/>
      <c r="FB265" s="740"/>
      <c r="FC265" s="740"/>
      <c r="FD265" s="740"/>
      <c r="FE265" s="740"/>
      <c r="FF265" s="740"/>
      <c r="FG265" s="740"/>
      <c r="FH265" s="740"/>
      <c r="FI265" s="740"/>
      <c r="FJ265" s="740"/>
      <c r="FK265" s="740"/>
      <c r="FL265" s="740"/>
      <c r="FM265" s="740"/>
      <c r="FN265" s="740"/>
      <c r="FO265" s="740"/>
      <c r="FP265" s="740"/>
      <c r="FQ265" s="740"/>
      <c r="FR265" s="740"/>
      <c r="FS265" s="740"/>
      <c r="FT265" s="740"/>
      <c r="FU265" s="740"/>
      <c r="FV265" s="740"/>
      <c r="FW265" s="740"/>
      <c r="FX265" s="740"/>
      <c r="FY265" s="740"/>
      <c r="FZ265" s="740"/>
      <c r="GA265" s="740"/>
      <c r="GB265" s="740"/>
      <c r="GC265" s="740"/>
      <c r="GD265" s="740"/>
      <c r="GE265" s="740"/>
      <c r="GF265" s="740"/>
      <c r="GG265" s="740"/>
      <c r="GH265" s="740"/>
      <c r="GI265" s="740"/>
      <c r="GJ265" s="740"/>
      <c r="GK265" s="740"/>
      <c r="GL265" s="740"/>
      <c r="GM265" s="740"/>
      <c r="GN265" s="740"/>
      <c r="GO265" s="740"/>
      <c r="GP265" s="740"/>
      <c r="GQ265" s="740"/>
      <c r="GR265" s="740"/>
      <c r="GS265" s="740"/>
      <c r="GT265" s="740"/>
      <c r="GU265" s="740"/>
      <c r="GV265" s="740"/>
      <c r="GW265" s="740"/>
    </row>
    <row r="266" spans="18:205" ht="24" customHeight="1" x14ac:dyDescent="0.2">
      <c r="R266" s="740"/>
      <c r="S266" s="740"/>
      <c r="T266" s="740"/>
      <c r="U266" s="740"/>
      <c r="V266" s="740"/>
      <c r="W266" s="740"/>
      <c r="X266" s="740"/>
      <c r="Y266" s="740"/>
      <c r="Z266" s="740"/>
      <c r="AA266" s="740"/>
      <c r="AB266" s="740"/>
      <c r="AC266" s="740"/>
      <c r="AD266" s="740"/>
      <c r="AE266" s="740"/>
      <c r="AF266" s="740"/>
      <c r="AG266" s="740"/>
      <c r="AH266" s="740"/>
      <c r="AI266" s="740"/>
      <c r="AJ266" s="740"/>
      <c r="AK266" s="740"/>
      <c r="AL266" s="740"/>
      <c r="AM266" s="740"/>
      <c r="AN266" s="740"/>
      <c r="AO266" s="740"/>
      <c r="AP266" s="740"/>
      <c r="AQ266" s="740"/>
      <c r="AR266" s="740"/>
      <c r="AS266" s="740"/>
      <c r="AT266" s="740"/>
      <c r="AU266" s="740"/>
      <c r="AV266" s="740"/>
      <c r="AW266" s="740"/>
      <c r="AX266" s="740"/>
      <c r="AY266" s="740"/>
      <c r="AZ266" s="740"/>
      <c r="BA266" s="740"/>
      <c r="BB266" s="740"/>
      <c r="BC266" s="740"/>
      <c r="BD266" s="740"/>
      <c r="BE266" s="740"/>
      <c r="BF266" s="740"/>
      <c r="BG266" s="740"/>
      <c r="BH266" s="740"/>
      <c r="BI266" s="740"/>
      <c r="BJ266" s="740"/>
      <c r="BK266" s="740"/>
      <c r="BL266" s="740"/>
      <c r="BM266" s="740"/>
      <c r="BN266" s="740"/>
      <c r="BO266" s="740"/>
      <c r="BP266" s="740"/>
      <c r="BQ266" s="740"/>
      <c r="BR266" s="740"/>
      <c r="BS266" s="740"/>
      <c r="BT266" s="740"/>
      <c r="BU266" s="740"/>
      <c r="BV266" s="740"/>
      <c r="BW266" s="740"/>
      <c r="BX266" s="740"/>
      <c r="BY266" s="740"/>
      <c r="BZ266" s="740"/>
      <c r="CA266" s="740"/>
      <c r="CB266" s="740"/>
      <c r="CC266" s="740"/>
      <c r="CD266" s="740"/>
      <c r="CE266" s="740"/>
      <c r="CF266" s="740"/>
      <c r="CG266" s="740"/>
      <c r="CH266" s="740"/>
      <c r="CI266" s="740"/>
      <c r="CJ266" s="740"/>
      <c r="CK266" s="740"/>
      <c r="CL266" s="740"/>
      <c r="CM266" s="740"/>
      <c r="CN266" s="740"/>
      <c r="CO266" s="740"/>
      <c r="CP266" s="740"/>
      <c r="CQ266" s="740"/>
      <c r="CR266" s="740"/>
      <c r="CS266" s="740"/>
      <c r="CT266" s="740"/>
      <c r="CU266" s="740"/>
      <c r="CV266" s="740"/>
      <c r="CW266" s="740"/>
      <c r="CX266" s="740"/>
      <c r="CY266" s="740"/>
      <c r="CZ266" s="740"/>
      <c r="DA266" s="740"/>
      <c r="DB266" s="740"/>
      <c r="DC266" s="740"/>
      <c r="DD266" s="740"/>
      <c r="DE266" s="740"/>
      <c r="DF266" s="740"/>
      <c r="DG266" s="740"/>
      <c r="DH266" s="740"/>
      <c r="DI266" s="740"/>
      <c r="DJ266" s="740"/>
      <c r="DK266" s="740"/>
      <c r="DL266" s="740"/>
      <c r="DM266" s="740"/>
      <c r="DN266" s="740"/>
      <c r="DO266" s="740"/>
      <c r="DP266" s="740"/>
      <c r="DQ266" s="740"/>
      <c r="DR266" s="740"/>
      <c r="DS266" s="740"/>
      <c r="DT266" s="740"/>
      <c r="DU266" s="740"/>
      <c r="DV266" s="740"/>
      <c r="DW266" s="740"/>
      <c r="DX266" s="740"/>
      <c r="DY266" s="740"/>
      <c r="DZ266" s="740"/>
      <c r="EA266" s="740"/>
      <c r="EB266" s="740"/>
      <c r="EC266" s="740"/>
      <c r="ED266" s="740"/>
      <c r="EE266" s="740"/>
      <c r="EF266" s="740"/>
      <c r="EG266" s="740"/>
      <c r="EH266" s="740"/>
      <c r="EI266" s="740"/>
      <c r="EJ266" s="740"/>
      <c r="EK266" s="740"/>
      <c r="EL266" s="740"/>
      <c r="EM266" s="740"/>
      <c r="EN266" s="740"/>
      <c r="EO266" s="740"/>
      <c r="EP266" s="740"/>
      <c r="EQ266" s="740"/>
      <c r="ER266" s="740"/>
      <c r="ES266" s="740"/>
      <c r="ET266" s="740"/>
      <c r="EU266" s="740"/>
      <c r="EV266" s="740"/>
      <c r="EW266" s="740"/>
      <c r="EX266" s="740"/>
      <c r="EY266" s="740"/>
      <c r="EZ266" s="740"/>
      <c r="FA266" s="740"/>
      <c r="FB266" s="740"/>
      <c r="FC266" s="740"/>
      <c r="FD266" s="740"/>
      <c r="FE266" s="740"/>
      <c r="FF266" s="740"/>
      <c r="FG266" s="740"/>
      <c r="FH266" s="740"/>
      <c r="FI266" s="740"/>
      <c r="FJ266" s="740"/>
      <c r="FK266" s="740"/>
      <c r="FL266" s="740"/>
      <c r="FM266" s="740"/>
      <c r="FN266" s="740"/>
      <c r="FO266" s="740"/>
      <c r="FP266" s="740"/>
      <c r="FQ266" s="740"/>
      <c r="FR266" s="740"/>
      <c r="FS266" s="740"/>
      <c r="FT266" s="740"/>
      <c r="FU266" s="740"/>
      <c r="FV266" s="740"/>
      <c r="FW266" s="740"/>
      <c r="FX266" s="740"/>
      <c r="FY266" s="740"/>
      <c r="FZ266" s="740"/>
      <c r="GA266" s="740"/>
      <c r="GB266" s="740"/>
      <c r="GC266" s="740"/>
      <c r="GD266" s="740"/>
      <c r="GE266" s="740"/>
      <c r="GF266" s="740"/>
      <c r="GG266" s="740"/>
      <c r="GH266" s="740"/>
      <c r="GI266" s="740"/>
      <c r="GJ266" s="740"/>
      <c r="GK266" s="740"/>
      <c r="GL266" s="740"/>
      <c r="GM266" s="740"/>
      <c r="GN266" s="740"/>
      <c r="GO266" s="740"/>
      <c r="GP266" s="740"/>
      <c r="GQ266" s="740"/>
      <c r="GR266" s="740"/>
      <c r="GS266" s="740"/>
      <c r="GT266" s="740"/>
      <c r="GU266" s="740"/>
      <c r="GV266" s="740"/>
      <c r="GW266" s="740"/>
    </row>
    <row r="267" spans="18:205" ht="24" customHeight="1" x14ac:dyDescent="0.2">
      <c r="R267" s="740"/>
      <c r="S267" s="740"/>
      <c r="T267" s="740"/>
      <c r="U267" s="740"/>
      <c r="V267" s="740"/>
      <c r="W267" s="740"/>
      <c r="X267" s="740"/>
      <c r="Y267" s="740"/>
      <c r="Z267" s="740"/>
      <c r="AA267" s="740"/>
      <c r="AB267" s="740"/>
      <c r="AC267" s="740"/>
      <c r="AD267" s="740"/>
      <c r="AE267" s="740"/>
      <c r="AF267" s="740"/>
      <c r="AG267" s="740"/>
      <c r="AH267" s="740"/>
      <c r="AI267" s="740"/>
      <c r="AJ267" s="740"/>
      <c r="AK267" s="740"/>
      <c r="AL267" s="740"/>
      <c r="AM267" s="740"/>
      <c r="AN267" s="740"/>
      <c r="AO267" s="740"/>
      <c r="AP267" s="740"/>
      <c r="AQ267" s="740"/>
      <c r="AR267" s="740"/>
      <c r="AS267" s="740"/>
      <c r="AT267" s="740"/>
      <c r="AU267" s="740"/>
      <c r="AV267" s="740"/>
      <c r="AW267" s="740"/>
      <c r="AX267" s="740"/>
      <c r="AY267" s="740"/>
      <c r="AZ267" s="740"/>
      <c r="BA267" s="740"/>
      <c r="BB267" s="740"/>
      <c r="BC267" s="740"/>
      <c r="BD267" s="740"/>
      <c r="BE267" s="740"/>
      <c r="BF267" s="740"/>
      <c r="BG267" s="740"/>
      <c r="BH267" s="740"/>
      <c r="BI267" s="740"/>
      <c r="BJ267" s="740"/>
      <c r="BK267" s="740"/>
      <c r="BL267" s="740"/>
      <c r="BM267" s="740"/>
      <c r="BN267" s="740"/>
      <c r="BO267" s="740"/>
      <c r="BP267" s="740"/>
      <c r="BQ267" s="740"/>
      <c r="BR267" s="740"/>
      <c r="BS267" s="740"/>
      <c r="BT267" s="740"/>
      <c r="BU267" s="740"/>
      <c r="BV267" s="740"/>
      <c r="BW267" s="740"/>
      <c r="BX267" s="740"/>
      <c r="BY267" s="740"/>
      <c r="BZ267" s="740"/>
      <c r="CA267" s="740"/>
      <c r="CB267" s="740"/>
      <c r="CC267" s="740"/>
      <c r="CD267" s="740"/>
      <c r="CE267" s="740"/>
      <c r="CF267" s="740"/>
      <c r="CG267" s="740"/>
      <c r="CH267" s="740"/>
      <c r="CI267" s="740"/>
      <c r="CJ267" s="740"/>
      <c r="CK267" s="740"/>
      <c r="CL267" s="740"/>
      <c r="CM267" s="740"/>
      <c r="CN267" s="740"/>
      <c r="CO267" s="740"/>
      <c r="CP267" s="740"/>
      <c r="CQ267" s="740"/>
      <c r="CR267" s="740"/>
      <c r="CS267" s="740"/>
      <c r="CT267" s="740"/>
      <c r="CU267" s="740"/>
      <c r="CV267" s="740"/>
      <c r="CW267" s="740"/>
      <c r="CX267" s="740"/>
      <c r="CY267" s="740"/>
      <c r="CZ267" s="740"/>
      <c r="DA267" s="740"/>
      <c r="DB267" s="740"/>
      <c r="DC267" s="740"/>
      <c r="DD267" s="740"/>
      <c r="DE267" s="740"/>
      <c r="DF267" s="740"/>
      <c r="DG267" s="740"/>
      <c r="DH267" s="740"/>
      <c r="DI267" s="740"/>
      <c r="DJ267" s="740"/>
      <c r="DK267" s="740"/>
      <c r="DL267" s="740"/>
      <c r="DM267" s="740"/>
      <c r="DN267" s="740"/>
      <c r="DO267" s="740"/>
      <c r="DP267" s="740"/>
      <c r="DQ267" s="740"/>
      <c r="DR267" s="740"/>
      <c r="DS267" s="740"/>
      <c r="DT267" s="740"/>
      <c r="DU267" s="740"/>
      <c r="DV267" s="740"/>
      <c r="DW267" s="740"/>
      <c r="DX267" s="740"/>
      <c r="DY267" s="740"/>
      <c r="DZ267" s="740"/>
      <c r="EA267" s="740"/>
      <c r="EB267" s="740"/>
      <c r="EC267" s="740"/>
      <c r="ED267" s="740"/>
      <c r="EE267" s="740"/>
      <c r="EF267" s="740"/>
      <c r="EG267" s="740"/>
      <c r="EH267" s="740"/>
      <c r="EI267" s="740"/>
      <c r="EJ267" s="740"/>
      <c r="EK267" s="740"/>
      <c r="EL267" s="740"/>
      <c r="EM267" s="740"/>
      <c r="EN267" s="740"/>
      <c r="EO267" s="740"/>
      <c r="EP267" s="740"/>
      <c r="EQ267" s="740"/>
      <c r="ER267" s="740"/>
      <c r="ES267" s="740"/>
      <c r="ET267" s="740"/>
      <c r="EU267" s="740"/>
      <c r="EV267" s="740"/>
      <c r="EW267" s="740"/>
      <c r="EX267" s="740"/>
      <c r="EY267" s="740"/>
      <c r="EZ267" s="740"/>
      <c r="FA267" s="740"/>
      <c r="FB267" s="740"/>
      <c r="FC267" s="740"/>
      <c r="FD267" s="740"/>
      <c r="FE267" s="740"/>
      <c r="FF267" s="740"/>
      <c r="FG267" s="740"/>
      <c r="FH267" s="740"/>
      <c r="FI267" s="740"/>
      <c r="FJ267" s="740"/>
      <c r="FK267" s="740"/>
      <c r="FL267" s="740"/>
      <c r="FM267" s="740"/>
      <c r="FN267" s="740"/>
      <c r="FO267" s="740"/>
      <c r="FP267" s="740"/>
      <c r="FQ267" s="740"/>
      <c r="FR267" s="740"/>
      <c r="FS267" s="740"/>
      <c r="FT267" s="740"/>
      <c r="FU267" s="740"/>
      <c r="FV267" s="740"/>
      <c r="FW267" s="740"/>
      <c r="FX267" s="740"/>
      <c r="FY267" s="740"/>
      <c r="FZ267" s="740"/>
      <c r="GA267" s="740"/>
      <c r="GB267" s="740"/>
      <c r="GC267" s="740"/>
      <c r="GD267" s="740"/>
      <c r="GE267" s="740"/>
      <c r="GF267" s="740"/>
      <c r="GG267" s="740"/>
      <c r="GH267" s="740"/>
      <c r="GI267" s="740"/>
      <c r="GJ267" s="740"/>
      <c r="GK267" s="740"/>
      <c r="GL267" s="740"/>
      <c r="GM267" s="740"/>
      <c r="GN267" s="740"/>
      <c r="GO267" s="740"/>
      <c r="GP267" s="740"/>
      <c r="GQ267" s="740"/>
      <c r="GR267" s="740"/>
      <c r="GS267" s="740"/>
      <c r="GT267" s="740"/>
      <c r="GU267" s="740"/>
      <c r="GV267" s="740"/>
      <c r="GW267" s="740"/>
    </row>
    <row r="268" spans="18:205" ht="24" customHeight="1" x14ac:dyDescent="0.2">
      <c r="R268" s="740"/>
      <c r="S268" s="740"/>
      <c r="T268" s="740"/>
      <c r="U268" s="740"/>
      <c r="V268" s="740"/>
      <c r="W268" s="740"/>
      <c r="X268" s="740"/>
      <c r="Y268" s="740"/>
      <c r="Z268" s="740"/>
      <c r="AA268" s="740"/>
      <c r="AB268" s="740"/>
      <c r="AC268" s="740"/>
      <c r="AD268" s="740"/>
      <c r="AE268" s="740"/>
      <c r="AF268" s="740"/>
      <c r="AG268" s="740"/>
      <c r="AH268" s="740"/>
      <c r="AI268" s="740"/>
      <c r="AJ268" s="740"/>
      <c r="AK268" s="740"/>
      <c r="AL268" s="740"/>
      <c r="AM268" s="740"/>
      <c r="AN268" s="740"/>
      <c r="AO268" s="740"/>
      <c r="AP268" s="740"/>
      <c r="AQ268" s="740"/>
      <c r="AR268" s="740"/>
      <c r="AS268" s="740"/>
      <c r="AT268" s="740"/>
      <c r="AU268" s="740"/>
      <c r="AV268" s="740"/>
      <c r="AW268" s="740"/>
      <c r="AX268" s="740"/>
      <c r="AY268" s="740"/>
      <c r="AZ268" s="740"/>
      <c r="BA268" s="740"/>
      <c r="BB268" s="740"/>
      <c r="BC268" s="740"/>
      <c r="BD268" s="740"/>
      <c r="BE268" s="740"/>
      <c r="BF268" s="740"/>
      <c r="BG268" s="740"/>
      <c r="BH268" s="740"/>
      <c r="BI268" s="740"/>
      <c r="BJ268" s="740"/>
      <c r="BK268" s="740"/>
      <c r="BL268" s="740"/>
      <c r="BM268" s="740"/>
      <c r="BN268" s="740"/>
      <c r="BO268" s="740"/>
      <c r="BP268" s="740"/>
      <c r="BQ268" s="740"/>
      <c r="BR268" s="740"/>
      <c r="BS268" s="740"/>
      <c r="BT268" s="740"/>
      <c r="BU268" s="740"/>
      <c r="BV268" s="740"/>
      <c r="BW268" s="740"/>
      <c r="BX268" s="740"/>
      <c r="BY268" s="740"/>
      <c r="BZ268" s="740"/>
      <c r="CA268" s="740"/>
      <c r="CB268" s="740"/>
      <c r="CC268" s="740"/>
      <c r="CD268" s="740"/>
      <c r="CE268" s="740"/>
      <c r="CF268" s="740"/>
      <c r="CG268" s="740"/>
      <c r="CH268" s="740"/>
      <c r="CI268" s="740"/>
      <c r="CJ268" s="740"/>
      <c r="CK268" s="740"/>
      <c r="CL268" s="740"/>
      <c r="CM268" s="740"/>
      <c r="CN268" s="740"/>
      <c r="CO268" s="740"/>
      <c r="CP268" s="740"/>
      <c r="CQ268" s="740"/>
      <c r="CR268" s="740"/>
      <c r="CS268" s="740"/>
      <c r="CT268" s="740"/>
      <c r="CU268" s="740"/>
      <c r="CV268" s="740"/>
      <c r="CW268" s="740"/>
      <c r="CX268" s="740"/>
      <c r="CY268" s="740"/>
      <c r="CZ268" s="740"/>
      <c r="DA268" s="740"/>
      <c r="DB268" s="740"/>
      <c r="DC268" s="740"/>
      <c r="DD268" s="740"/>
      <c r="DE268" s="740"/>
      <c r="DF268" s="740"/>
      <c r="DG268" s="740"/>
      <c r="DH268" s="740"/>
      <c r="DI268" s="740"/>
      <c r="DJ268" s="740"/>
      <c r="DK268" s="740"/>
      <c r="DL268" s="740"/>
      <c r="DM268" s="740"/>
      <c r="DN268" s="740"/>
      <c r="DO268" s="740"/>
      <c r="DP268" s="740"/>
      <c r="DQ268" s="740"/>
      <c r="DR268" s="740"/>
      <c r="DS268" s="740"/>
      <c r="DT268" s="740"/>
      <c r="DU268" s="740"/>
      <c r="DV268" s="740"/>
      <c r="DW268" s="740"/>
      <c r="DX268" s="740"/>
      <c r="DY268" s="740"/>
      <c r="DZ268" s="740"/>
      <c r="EA268" s="740"/>
      <c r="EB268" s="740"/>
      <c r="EC268" s="740"/>
      <c r="ED268" s="740"/>
      <c r="EE268" s="740"/>
      <c r="EF268" s="740"/>
      <c r="EG268" s="740"/>
      <c r="EH268" s="740"/>
      <c r="EI268" s="740"/>
      <c r="EJ268" s="740"/>
      <c r="EK268" s="740"/>
      <c r="EL268" s="740"/>
      <c r="EM268" s="740"/>
      <c r="EN268" s="740"/>
      <c r="EO268" s="740"/>
      <c r="EP268" s="740"/>
      <c r="EQ268" s="740"/>
      <c r="ER268" s="740"/>
      <c r="ES268" s="740"/>
      <c r="ET268" s="740"/>
      <c r="EU268" s="740"/>
      <c r="EV268" s="740"/>
      <c r="EW268" s="740"/>
      <c r="EX268" s="740"/>
      <c r="EY268" s="740"/>
      <c r="EZ268" s="740"/>
      <c r="FA268" s="740"/>
      <c r="FB268" s="740"/>
      <c r="FC268" s="740"/>
      <c r="FD268" s="740"/>
      <c r="FE268" s="740"/>
      <c r="FF268" s="740"/>
      <c r="FG268" s="740"/>
      <c r="FH268" s="740"/>
      <c r="FI268" s="740"/>
      <c r="FJ268" s="740"/>
      <c r="FK268" s="740"/>
      <c r="FL268" s="740"/>
      <c r="FM268" s="740"/>
      <c r="FN268" s="740"/>
      <c r="FO268" s="740"/>
      <c r="FP268" s="740"/>
      <c r="FQ268" s="740"/>
      <c r="FR268" s="740"/>
      <c r="FS268" s="740"/>
      <c r="FT268" s="740"/>
      <c r="FU268" s="740"/>
      <c r="FV268" s="740"/>
      <c r="FW268" s="740"/>
      <c r="FX268" s="740"/>
      <c r="FY268" s="740"/>
      <c r="FZ268" s="740"/>
      <c r="GA268" s="740"/>
      <c r="GB268" s="740"/>
      <c r="GC268" s="740"/>
      <c r="GD268" s="740"/>
      <c r="GE268" s="740"/>
      <c r="GF268" s="740"/>
      <c r="GG268" s="740"/>
      <c r="GH268" s="740"/>
      <c r="GI268" s="740"/>
      <c r="GJ268" s="740"/>
      <c r="GK268" s="740"/>
      <c r="GL268" s="740"/>
      <c r="GM268" s="740"/>
      <c r="GN268" s="740"/>
      <c r="GO268" s="740"/>
      <c r="GP268" s="740"/>
      <c r="GQ268" s="740"/>
      <c r="GR268" s="740"/>
      <c r="GS268" s="740"/>
      <c r="GT268" s="740"/>
      <c r="GU268" s="740"/>
      <c r="GV268" s="740"/>
      <c r="GW268" s="740"/>
    </row>
    <row r="269" spans="18:205" ht="24" customHeight="1" x14ac:dyDescent="0.2">
      <c r="R269" s="740"/>
      <c r="S269" s="740"/>
      <c r="T269" s="740"/>
      <c r="U269" s="740"/>
      <c r="V269" s="740"/>
      <c r="W269" s="740"/>
      <c r="X269" s="740"/>
      <c r="Y269" s="740"/>
      <c r="Z269" s="740"/>
      <c r="AA269" s="740"/>
      <c r="AB269" s="740"/>
      <c r="AC269" s="740"/>
      <c r="AD269" s="740"/>
      <c r="AE269" s="740"/>
      <c r="AF269" s="740"/>
      <c r="AG269" s="740"/>
      <c r="AH269" s="740"/>
      <c r="AI269" s="740"/>
      <c r="AJ269" s="740"/>
      <c r="AK269" s="740"/>
      <c r="AL269" s="740"/>
      <c r="AM269" s="740"/>
      <c r="AN269" s="740"/>
      <c r="AO269" s="740"/>
      <c r="AP269" s="740"/>
      <c r="AQ269" s="740"/>
      <c r="AR269" s="740"/>
      <c r="AS269" s="740"/>
      <c r="AT269" s="740"/>
      <c r="AU269" s="740"/>
      <c r="AV269" s="740"/>
      <c r="AW269" s="740"/>
      <c r="AX269" s="740"/>
      <c r="AY269" s="740"/>
      <c r="AZ269" s="740"/>
      <c r="BA269" s="740"/>
      <c r="BB269" s="740"/>
      <c r="BC269" s="740"/>
      <c r="BD269" s="740"/>
      <c r="BE269" s="740"/>
      <c r="BF269" s="740"/>
      <c r="BG269" s="740"/>
      <c r="BH269" s="740"/>
      <c r="BI269" s="740"/>
      <c r="BJ269" s="740"/>
      <c r="BK269" s="740"/>
      <c r="BL269" s="740"/>
      <c r="BM269" s="740"/>
      <c r="BN269" s="740"/>
      <c r="BO269" s="740"/>
      <c r="BP269" s="740"/>
      <c r="BQ269" s="740"/>
      <c r="BR269" s="740"/>
      <c r="BS269" s="740"/>
      <c r="BT269" s="740"/>
      <c r="BU269" s="740"/>
      <c r="BV269" s="740"/>
      <c r="BW269" s="740"/>
      <c r="BX269" s="740"/>
      <c r="BY269" s="740"/>
      <c r="BZ269" s="740"/>
      <c r="CA269" s="740"/>
      <c r="CB269" s="740"/>
      <c r="CC269" s="740"/>
      <c r="CD269" s="740"/>
      <c r="CE269" s="740"/>
      <c r="CF269" s="740"/>
      <c r="CG269" s="740"/>
      <c r="CH269" s="740"/>
      <c r="CI269" s="740"/>
      <c r="CJ269" s="740"/>
      <c r="CK269" s="740"/>
      <c r="CL269" s="740"/>
      <c r="CM269" s="740"/>
      <c r="CN269" s="740"/>
      <c r="CO269" s="740"/>
      <c r="CP269" s="740"/>
      <c r="CQ269" s="740"/>
      <c r="CR269" s="740"/>
      <c r="CS269" s="740"/>
      <c r="CT269" s="740"/>
      <c r="CU269" s="740"/>
      <c r="CV269" s="740"/>
      <c r="CW269" s="740"/>
      <c r="CX269" s="740"/>
      <c r="CY269" s="740"/>
      <c r="CZ269" s="740"/>
      <c r="DA269" s="740"/>
      <c r="DB269" s="740"/>
      <c r="DC269" s="740"/>
      <c r="DD269" s="740"/>
      <c r="DE269" s="740"/>
      <c r="DF269" s="740"/>
      <c r="DG269" s="740"/>
      <c r="DH269" s="740"/>
      <c r="DI269" s="740"/>
      <c r="DJ269" s="740"/>
      <c r="DK269" s="740"/>
      <c r="DL269" s="740"/>
      <c r="DM269" s="740"/>
      <c r="DN269" s="740"/>
      <c r="DO269" s="740"/>
      <c r="DP269" s="740"/>
      <c r="DQ269" s="740"/>
      <c r="DR269" s="740"/>
      <c r="DS269" s="740"/>
      <c r="DT269" s="740"/>
      <c r="DU269" s="740"/>
      <c r="DV269" s="740"/>
      <c r="DW269" s="740"/>
      <c r="DX269" s="740"/>
      <c r="DY269" s="740"/>
      <c r="DZ269" s="740"/>
      <c r="EA269" s="740"/>
      <c r="EB269" s="740"/>
      <c r="EC269" s="740"/>
      <c r="ED269" s="740"/>
      <c r="EE269" s="740"/>
      <c r="EF269" s="740"/>
      <c r="EG269" s="740"/>
      <c r="EH269" s="740"/>
      <c r="EI269" s="740"/>
      <c r="EJ269" s="740"/>
      <c r="EK269" s="740"/>
      <c r="EL269" s="740"/>
      <c r="EM269" s="740"/>
      <c r="EN269" s="740"/>
      <c r="EO269" s="740"/>
      <c r="EP269" s="740"/>
      <c r="EQ269" s="740"/>
      <c r="ER269" s="740"/>
      <c r="ES269" s="740"/>
      <c r="ET269" s="740"/>
      <c r="EU269" s="740"/>
      <c r="EV269" s="740"/>
      <c r="EW269" s="740"/>
      <c r="EX269" s="740"/>
      <c r="EY269" s="740"/>
      <c r="EZ269" s="740"/>
      <c r="FA269" s="740"/>
      <c r="FB269" s="740"/>
      <c r="FC269" s="740"/>
      <c r="FD269" s="740"/>
      <c r="FE269" s="740"/>
      <c r="FF269" s="740"/>
      <c r="FG269" s="740"/>
      <c r="FH269" s="740"/>
      <c r="FI269" s="740"/>
      <c r="FJ269" s="740"/>
      <c r="FK269" s="740"/>
      <c r="FL269" s="740"/>
      <c r="FM269" s="740"/>
      <c r="FN269" s="740"/>
      <c r="FO269" s="740"/>
      <c r="FP269" s="740"/>
      <c r="FQ269" s="740"/>
      <c r="FR269" s="740"/>
      <c r="FS269" s="740"/>
      <c r="FT269" s="740"/>
      <c r="FU269" s="740"/>
      <c r="FV269" s="740"/>
      <c r="FW269" s="740"/>
      <c r="FX269" s="740"/>
      <c r="FY269" s="740"/>
      <c r="FZ269" s="740"/>
      <c r="GA269" s="740"/>
      <c r="GB269" s="740"/>
      <c r="GC269" s="740"/>
      <c r="GD269" s="740"/>
      <c r="GE269" s="740"/>
      <c r="GF269" s="740"/>
      <c r="GG269" s="740"/>
      <c r="GH269" s="740"/>
      <c r="GI269" s="740"/>
      <c r="GJ269" s="740"/>
      <c r="GK269" s="740"/>
      <c r="GL269" s="740"/>
      <c r="GM269" s="740"/>
      <c r="GN269" s="740"/>
      <c r="GO269" s="740"/>
      <c r="GP269" s="740"/>
      <c r="GQ269" s="740"/>
      <c r="GR269" s="740"/>
      <c r="GS269" s="740"/>
      <c r="GT269" s="740"/>
      <c r="GU269" s="740"/>
      <c r="GV269" s="740"/>
      <c r="GW269" s="740"/>
    </row>
    <row r="270" spans="18:205" ht="24" customHeight="1" x14ac:dyDescent="0.2">
      <c r="R270" s="740"/>
      <c r="S270" s="740"/>
      <c r="T270" s="740"/>
      <c r="U270" s="740"/>
      <c r="V270" s="740"/>
      <c r="W270" s="740"/>
      <c r="X270" s="740"/>
      <c r="Y270" s="740"/>
      <c r="Z270" s="740"/>
      <c r="AA270" s="740"/>
      <c r="AB270" s="740"/>
      <c r="AC270" s="740"/>
      <c r="AD270" s="740"/>
      <c r="AE270" s="740"/>
      <c r="AF270" s="740"/>
      <c r="AG270" s="740"/>
      <c r="AH270" s="740"/>
      <c r="AI270" s="740"/>
      <c r="AJ270" s="740"/>
      <c r="AK270" s="740"/>
      <c r="AL270" s="740"/>
      <c r="AM270" s="740"/>
      <c r="AN270" s="740"/>
      <c r="AO270" s="740"/>
      <c r="AP270" s="740"/>
      <c r="AQ270" s="740"/>
      <c r="AR270" s="740"/>
      <c r="AS270" s="740"/>
      <c r="AT270" s="740"/>
      <c r="AU270" s="740"/>
      <c r="AV270" s="740"/>
      <c r="AW270" s="740"/>
      <c r="AX270" s="740"/>
      <c r="AY270" s="740"/>
      <c r="AZ270" s="740"/>
      <c r="BA270" s="740"/>
      <c r="BB270" s="740"/>
      <c r="BC270" s="740"/>
      <c r="BD270" s="740"/>
      <c r="BE270" s="740"/>
      <c r="BF270" s="740"/>
      <c r="BG270" s="740"/>
      <c r="BH270" s="740"/>
      <c r="BI270" s="740"/>
      <c r="BJ270" s="740"/>
      <c r="BK270" s="740"/>
      <c r="BL270" s="740"/>
      <c r="BM270" s="740"/>
      <c r="BN270" s="740"/>
      <c r="BO270" s="740"/>
      <c r="BP270" s="740"/>
      <c r="BQ270" s="740"/>
      <c r="BR270" s="740"/>
      <c r="BS270" s="740"/>
      <c r="BT270" s="740"/>
      <c r="BU270" s="740"/>
      <c r="BV270" s="740"/>
      <c r="BW270" s="740"/>
      <c r="BX270" s="740"/>
      <c r="BY270" s="740"/>
      <c r="BZ270" s="740"/>
      <c r="CA270" s="740"/>
      <c r="CB270" s="740"/>
      <c r="CC270" s="740"/>
      <c r="CD270" s="740"/>
      <c r="CE270" s="740"/>
      <c r="CF270" s="740"/>
      <c r="CG270" s="740"/>
      <c r="CH270" s="740"/>
      <c r="CI270" s="740"/>
      <c r="CJ270" s="740"/>
      <c r="CK270" s="740"/>
      <c r="CL270" s="740"/>
      <c r="CM270" s="740"/>
      <c r="CN270" s="740"/>
      <c r="CO270" s="740"/>
      <c r="CP270" s="740"/>
      <c r="CQ270" s="740"/>
      <c r="CR270" s="740"/>
      <c r="CS270" s="740"/>
      <c r="CT270" s="740"/>
      <c r="CU270" s="740"/>
      <c r="CV270" s="740"/>
      <c r="CW270" s="740"/>
      <c r="CX270" s="740"/>
      <c r="CY270" s="740"/>
      <c r="CZ270" s="740"/>
      <c r="DA270" s="740"/>
      <c r="DB270" s="740"/>
      <c r="DC270" s="740"/>
      <c r="DD270" s="740"/>
      <c r="DE270" s="740"/>
      <c r="DF270" s="740"/>
      <c r="DG270" s="740"/>
      <c r="DH270" s="740"/>
      <c r="DI270" s="740"/>
      <c r="DJ270" s="740"/>
      <c r="DK270" s="740"/>
      <c r="DL270" s="740"/>
      <c r="DM270" s="740"/>
      <c r="DN270" s="740"/>
      <c r="DO270" s="740"/>
      <c r="DP270" s="740"/>
      <c r="DQ270" s="740"/>
      <c r="DR270" s="740"/>
      <c r="DS270" s="740"/>
      <c r="DT270" s="740"/>
      <c r="DU270" s="740"/>
      <c r="DV270" s="740"/>
      <c r="DW270" s="740"/>
      <c r="DX270" s="740"/>
      <c r="DY270" s="740"/>
      <c r="DZ270" s="740"/>
      <c r="EA270" s="740"/>
      <c r="EB270" s="740"/>
      <c r="EC270" s="740"/>
      <c r="ED270" s="740"/>
      <c r="EE270" s="740"/>
      <c r="EF270" s="740"/>
      <c r="EG270" s="740"/>
      <c r="EH270" s="740"/>
      <c r="EI270" s="740"/>
      <c r="EJ270" s="740"/>
      <c r="EK270" s="740"/>
      <c r="EL270" s="740"/>
      <c r="EM270" s="740"/>
      <c r="EN270" s="740"/>
      <c r="EO270" s="740"/>
      <c r="EP270" s="740"/>
      <c r="EQ270" s="740"/>
      <c r="ER270" s="740"/>
      <c r="ES270" s="740"/>
      <c r="ET270" s="740"/>
      <c r="EU270" s="740"/>
      <c r="EV270" s="740"/>
      <c r="EW270" s="740"/>
      <c r="EX270" s="740"/>
      <c r="EY270" s="740"/>
      <c r="EZ270" s="740"/>
      <c r="FA270" s="740"/>
      <c r="FB270" s="740"/>
      <c r="FC270" s="740"/>
      <c r="FD270" s="740"/>
      <c r="FE270" s="740"/>
      <c r="FF270" s="740"/>
      <c r="FG270" s="740"/>
      <c r="FH270" s="740"/>
      <c r="FI270" s="740"/>
      <c r="FJ270" s="740"/>
      <c r="FK270" s="740"/>
      <c r="FL270" s="740"/>
      <c r="FM270" s="740"/>
      <c r="FN270" s="740"/>
      <c r="FO270" s="740"/>
      <c r="FP270" s="740"/>
      <c r="FQ270" s="740"/>
      <c r="FR270" s="740"/>
      <c r="FS270" s="740"/>
      <c r="FT270" s="740"/>
      <c r="FU270" s="740"/>
      <c r="FV270" s="740"/>
      <c r="FW270" s="740"/>
      <c r="FX270" s="740"/>
      <c r="FY270" s="740"/>
      <c r="FZ270" s="740"/>
      <c r="GA270" s="740"/>
      <c r="GB270" s="740"/>
      <c r="GC270" s="740"/>
      <c r="GD270" s="740"/>
      <c r="GE270" s="740"/>
      <c r="GF270" s="740"/>
      <c r="GG270" s="740"/>
      <c r="GH270" s="740"/>
      <c r="GI270" s="740"/>
      <c r="GJ270" s="740"/>
      <c r="GK270" s="740"/>
      <c r="GL270" s="740"/>
      <c r="GM270" s="740"/>
      <c r="GN270" s="740"/>
      <c r="GO270" s="740"/>
      <c r="GP270" s="740"/>
      <c r="GQ270" s="740"/>
      <c r="GR270" s="740"/>
      <c r="GS270" s="740"/>
      <c r="GT270" s="740"/>
      <c r="GU270" s="740"/>
      <c r="GV270" s="740"/>
      <c r="GW270" s="740"/>
    </row>
    <row r="271" spans="18:205" ht="24" customHeight="1" x14ac:dyDescent="0.2">
      <c r="R271" s="740"/>
      <c r="S271" s="740"/>
      <c r="T271" s="740"/>
      <c r="U271" s="740"/>
      <c r="V271" s="740"/>
      <c r="W271" s="740"/>
      <c r="X271" s="740"/>
      <c r="Y271" s="740"/>
      <c r="Z271" s="740"/>
      <c r="AA271" s="740"/>
      <c r="AB271" s="740"/>
      <c r="AC271" s="740"/>
      <c r="AD271" s="740"/>
      <c r="AE271" s="740"/>
      <c r="AF271" s="740"/>
      <c r="AG271" s="740"/>
      <c r="AH271" s="740"/>
      <c r="AI271" s="740"/>
      <c r="AJ271" s="740"/>
      <c r="AK271" s="740"/>
      <c r="AL271" s="740"/>
      <c r="AM271" s="740"/>
      <c r="AN271" s="740"/>
      <c r="AO271" s="740"/>
      <c r="AP271" s="740"/>
      <c r="AQ271" s="740"/>
      <c r="AR271" s="740"/>
      <c r="AS271" s="740"/>
      <c r="AT271" s="740"/>
      <c r="AU271" s="740"/>
      <c r="AV271" s="740"/>
      <c r="AW271" s="740"/>
      <c r="AX271" s="740"/>
      <c r="AY271" s="740"/>
      <c r="AZ271" s="740"/>
      <c r="BA271" s="740"/>
      <c r="BB271" s="740"/>
      <c r="BC271" s="740"/>
      <c r="BD271" s="740"/>
      <c r="BE271" s="740"/>
      <c r="BF271" s="740"/>
      <c r="BG271" s="740"/>
      <c r="BH271" s="740"/>
      <c r="BI271" s="740"/>
      <c r="BJ271" s="740"/>
      <c r="BK271" s="740"/>
      <c r="BL271" s="740"/>
      <c r="BM271" s="740"/>
      <c r="BN271" s="740"/>
      <c r="BO271" s="740"/>
      <c r="BP271" s="740"/>
      <c r="BQ271" s="740"/>
      <c r="BR271" s="740"/>
      <c r="BS271" s="740"/>
      <c r="BT271" s="740"/>
      <c r="BU271" s="740"/>
      <c r="BV271" s="740"/>
      <c r="BW271" s="740"/>
      <c r="BX271" s="740"/>
      <c r="BY271" s="740"/>
      <c r="BZ271" s="740"/>
      <c r="CA271" s="740"/>
      <c r="CB271" s="740"/>
      <c r="CC271" s="740"/>
      <c r="CD271" s="740"/>
      <c r="CE271" s="740"/>
      <c r="CF271" s="740"/>
      <c r="CG271" s="740"/>
      <c r="CH271" s="740"/>
      <c r="CI271" s="740"/>
      <c r="CJ271" s="740"/>
      <c r="CK271" s="740"/>
      <c r="CL271" s="740"/>
      <c r="CM271" s="740"/>
      <c r="CN271" s="740"/>
      <c r="CO271" s="740"/>
      <c r="CP271" s="740"/>
      <c r="CQ271" s="740"/>
      <c r="CR271" s="740"/>
      <c r="CS271" s="740"/>
      <c r="CT271" s="740"/>
      <c r="CU271" s="740"/>
      <c r="CV271" s="740"/>
      <c r="CW271" s="740"/>
      <c r="CX271" s="740"/>
      <c r="CY271" s="740"/>
      <c r="CZ271" s="740"/>
      <c r="DA271" s="740"/>
      <c r="DB271" s="740"/>
      <c r="DC271" s="740"/>
      <c r="DD271" s="740"/>
      <c r="DE271" s="740"/>
      <c r="DF271" s="740"/>
      <c r="DG271" s="740"/>
      <c r="DH271" s="740"/>
      <c r="DI271" s="740"/>
      <c r="DJ271" s="740"/>
      <c r="DK271" s="740"/>
      <c r="DL271" s="740"/>
      <c r="DM271" s="740"/>
      <c r="DN271" s="740"/>
      <c r="DO271" s="740"/>
      <c r="DP271" s="740"/>
      <c r="DQ271" s="740"/>
      <c r="DR271" s="740"/>
      <c r="DS271" s="740"/>
      <c r="DT271" s="740"/>
      <c r="DU271" s="740"/>
      <c r="DV271" s="740"/>
      <c r="DW271" s="740"/>
      <c r="DX271" s="740"/>
      <c r="DY271" s="740"/>
      <c r="DZ271" s="740"/>
      <c r="EA271" s="740"/>
      <c r="EB271" s="740"/>
      <c r="EC271" s="740"/>
      <c r="ED271" s="740"/>
      <c r="EE271" s="740"/>
      <c r="EF271" s="740"/>
      <c r="EG271" s="740"/>
      <c r="EH271" s="740"/>
      <c r="EI271" s="740"/>
      <c r="EJ271" s="740"/>
      <c r="EK271" s="740"/>
      <c r="EL271" s="740"/>
      <c r="EM271" s="740"/>
      <c r="EN271" s="740"/>
      <c r="EO271" s="740"/>
      <c r="EP271" s="740"/>
      <c r="EQ271" s="740"/>
      <c r="ER271" s="740"/>
      <c r="ES271" s="740"/>
      <c r="ET271" s="740"/>
      <c r="EU271" s="740"/>
      <c r="EV271" s="740"/>
      <c r="EW271" s="740"/>
      <c r="EX271" s="740"/>
      <c r="EY271" s="740"/>
      <c r="EZ271" s="740"/>
      <c r="FA271" s="740"/>
      <c r="FB271" s="740"/>
      <c r="FC271" s="740"/>
      <c r="FD271" s="740"/>
      <c r="FE271" s="740"/>
      <c r="FF271" s="740"/>
      <c r="FG271" s="740"/>
      <c r="FH271" s="740"/>
      <c r="FI271" s="740"/>
      <c r="FJ271" s="740"/>
      <c r="FK271" s="740"/>
      <c r="FL271" s="740"/>
      <c r="FM271" s="740"/>
      <c r="FN271" s="740"/>
      <c r="FO271" s="740"/>
      <c r="FP271" s="740"/>
      <c r="FQ271" s="740"/>
      <c r="FR271" s="740"/>
      <c r="FS271" s="740"/>
      <c r="FT271" s="740"/>
      <c r="FU271" s="740"/>
      <c r="FV271" s="740"/>
      <c r="FW271" s="740"/>
      <c r="FX271" s="740"/>
      <c r="FY271" s="740"/>
      <c r="FZ271" s="740"/>
      <c r="GA271" s="740"/>
      <c r="GB271" s="740"/>
      <c r="GC271" s="740"/>
      <c r="GD271" s="740"/>
      <c r="GE271" s="740"/>
      <c r="GF271" s="740"/>
      <c r="GG271" s="740"/>
      <c r="GH271" s="740"/>
      <c r="GI271" s="740"/>
      <c r="GJ271" s="740"/>
      <c r="GK271" s="740"/>
      <c r="GL271" s="740"/>
      <c r="GM271" s="740"/>
      <c r="GN271" s="740"/>
      <c r="GO271" s="740"/>
      <c r="GP271" s="740"/>
      <c r="GQ271" s="740"/>
      <c r="GR271" s="740"/>
      <c r="GS271" s="740"/>
      <c r="GT271" s="740"/>
      <c r="GU271" s="740"/>
      <c r="GV271" s="740"/>
      <c r="GW271" s="740"/>
    </row>
    <row r="272" spans="18:205" ht="24" customHeight="1" x14ac:dyDescent="0.2">
      <c r="R272" s="740"/>
      <c r="S272" s="740"/>
      <c r="T272" s="740"/>
      <c r="U272" s="740"/>
      <c r="V272" s="740"/>
      <c r="W272" s="740"/>
      <c r="X272" s="740"/>
      <c r="Y272" s="740"/>
      <c r="Z272" s="740"/>
      <c r="AA272" s="740"/>
      <c r="AB272" s="740"/>
      <c r="AC272" s="740"/>
      <c r="AD272" s="740"/>
      <c r="AE272" s="740"/>
      <c r="AF272" s="740"/>
      <c r="AG272" s="740"/>
      <c r="AH272" s="740"/>
      <c r="AI272" s="740"/>
      <c r="AJ272" s="740"/>
      <c r="AK272" s="740"/>
      <c r="AL272" s="740"/>
      <c r="AM272" s="740"/>
      <c r="AN272" s="740"/>
      <c r="AO272" s="740"/>
      <c r="AP272" s="740"/>
      <c r="AQ272" s="740"/>
      <c r="AR272" s="740"/>
      <c r="AS272" s="740"/>
      <c r="AT272" s="740"/>
      <c r="AU272" s="740"/>
      <c r="AV272" s="740"/>
      <c r="AW272" s="740"/>
      <c r="AX272" s="740"/>
      <c r="AY272" s="740"/>
      <c r="AZ272" s="740"/>
      <c r="BA272" s="740"/>
      <c r="BB272" s="740"/>
      <c r="BC272" s="740"/>
      <c r="BD272" s="740"/>
      <c r="BE272" s="740"/>
      <c r="BF272" s="740"/>
      <c r="BG272" s="740"/>
      <c r="BH272" s="740"/>
      <c r="BI272" s="740"/>
      <c r="BJ272" s="740"/>
      <c r="BK272" s="740"/>
      <c r="BL272" s="740"/>
      <c r="BM272" s="740"/>
      <c r="BN272" s="740"/>
      <c r="BO272" s="740"/>
      <c r="BP272" s="740"/>
      <c r="BQ272" s="740"/>
      <c r="BR272" s="740"/>
      <c r="BS272" s="740"/>
      <c r="BT272" s="740"/>
      <c r="BU272" s="740"/>
      <c r="BV272" s="740"/>
      <c r="BW272" s="740"/>
      <c r="BX272" s="740"/>
      <c r="BY272" s="740"/>
      <c r="BZ272" s="740"/>
      <c r="CA272" s="740"/>
      <c r="CB272" s="740"/>
      <c r="CC272" s="740"/>
      <c r="CD272" s="740"/>
      <c r="CE272" s="740"/>
      <c r="CF272" s="740"/>
      <c r="CG272" s="740"/>
      <c r="CH272" s="740"/>
      <c r="CI272" s="740"/>
      <c r="CJ272" s="740"/>
      <c r="CK272" s="740"/>
      <c r="CL272" s="740"/>
      <c r="CM272" s="740"/>
      <c r="CN272" s="740"/>
      <c r="CO272" s="740"/>
      <c r="CP272" s="740"/>
      <c r="CQ272" s="740"/>
      <c r="CR272" s="740"/>
      <c r="CS272" s="740"/>
      <c r="CT272" s="740"/>
      <c r="CU272" s="740"/>
      <c r="CV272" s="740"/>
      <c r="CW272" s="740"/>
      <c r="CX272" s="740"/>
      <c r="CY272" s="740"/>
      <c r="CZ272" s="740"/>
      <c r="DA272" s="740"/>
      <c r="DB272" s="740"/>
      <c r="DC272" s="740"/>
      <c r="DD272" s="740"/>
      <c r="DE272" s="740"/>
      <c r="DF272" s="740"/>
      <c r="DG272" s="740"/>
      <c r="DH272" s="740"/>
      <c r="DI272" s="740"/>
      <c r="DJ272" s="740"/>
      <c r="DK272" s="740"/>
      <c r="DL272" s="740"/>
      <c r="DM272" s="740"/>
      <c r="DN272" s="740"/>
      <c r="DO272" s="740"/>
      <c r="DP272" s="740"/>
      <c r="DQ272" s="740"/>
      <c r="DR272" s="740"/>
      <c r="DS272" s="740"/>
      <c r="DT272" s="740"/>
      <c r="DU272" s="740"/>
      <c r="DV272" s="740"/>
      <c r="DW272" s="740"/>
      <c r="DX272" s="740"/>
      <c r="DY272" s="740"/>
      <c r="DZ272" s="740"/>
      <c r="EA272" s="740"/>
      <c r="EB272" s="740"/>
      <c r="EC272" s="740"/>
      <c r="ED272" s="740"/>
      <c r="EE272" s="740"/>
      <c r="EF272" s="740"/>
      <c r="EG272" s="740"/>
      <c r="EH272" s="740"/>
      <c r="EI272" s="740"/>
      <c r="EJ272" s="740"/>
      <c r="EK272" s="740"/>
      <c r="EL272" s="740"/>
      <c r="EM272" s="740"/>
      <c r="EN272" s="740"/>
      <c r="EO272" s="740"/>
      <c r="EP272" s="740"/>
      <c r="EQ272" s="740"/>
      <c r="ER272" s="740"/>
      <c r="ES272" s="740"/>
      <c r="ET272" s="740"/>
      <c r="EU272" s="740"/>
      <c r="EV272" s="740"/>
      <c r="EW272" s="740"/>
      <c r="EX272" s="740"/>
      <c r="EY272" s="740"/>
      <c r="EZ272" s="740"/>
      <c r="FA272" s="740"/>
      <c r="FB272" s="740"/>
      <c r="FC272" s="740"/>
      <c r="FD272" s="740"/>
      <c r="FE272" s="740"/>
      <c r="FF272" s="740"/>
      <c r="FG272" s="740"/>
      <c r="FH272" s="740"/>
      <c r="FI272" s="740"/>
      <c r="FJ272" s="740"/>
      <c r="FK272" s="740"/>
      <c r="FL272" s="740"/>
      <c r="FM272" s="740"/>
      <c r="FN272" s="740"/>
      <c r="FO272" s="740"/>
      <c r="FP272" s="740"/>
      <c r="FQ272" s="740"/>
      <c r="FR272" s="740"/>
      <c r="FS272" s="740"/>
      <c r="FT272" s="740"/>
      <c r="FU272" s="740"/>
      <c r="FV272" s="740"/>
      <c r="FW272" s="740"/>
      <c r="FX272" s="740"/>
      <c r="FY272" s="740"/>
      <c r="FZ272" s="740"/>
      <c r="GA272" s="740"/>
      <c r="GB272" s="740"/>
      <c r="GC272" s="740"/>
      <c r="GD272" s="740"/>
      <c r="GE272" s="740"/>
      <c r="GF272" s="740"/>
      <c r="GG272" s="740"/>
      <c r="GH272" s="740"/>
      <c r="GI272" s="740"/>
      <c r="GJ272" s="740"/>
      <c r="GK272" s="740"/>
      <c r="GL272" s="740"/>
      <c r="GM272" s="740"/>
      <c r="GN272" s="740"/>
      <c r="GO272" s="740"/>
      <c r="GP272" s="740"/>
      <c r="GQ272" s="740"/>
      <c r="GR272" s="740"/>
      <c r="GS272" s="740"/>
      <c r="GT272" s="740"/>
      <c r="GU272" s="740"/>
      <c r="GV272" s="740"/>
      <c r="GW272" s="740"/>
    </row>
    <row r="273" spans="18:205" ht="24" customHeight="1" x14ac:dyDescent="0.2">
      <c r="R273" s="740"/>
      <c r="S273" s="740"/>
      <c r="T273" s="740"/>
      <c r="U273" s="740"/>
      <c r="V273" s="740"/>
      <c r="W273" s="740"/>
      <c r="X273" s="740"/>
      <c r="Y273" s="740"/>
      <c r="Z273" s="740"/>
      <c r="AA273" s="740"/>
      <c r="AB273" s="740"/>
      <c r="AC273" s="740"/>
      <c r="AD273" s="740"/>
      <c r="AE273" s="740"/>
      <c r="AF273" s="740"/>
      <c r="AG273" s="740"/>
      <c r="AH273" s="740"/>
      <c r="AI273" s="740"/>
      <c r="AJ273" s="740"/>
      <c r="AK273" s="740"/>
      <c r="AL273" s="740"/>
      <c r="AM273" s="740"/>
      <c r="AN273" s="740"/>
      <c r="AO273" s="740"/>
      <c r="AP273" s="740"/>
      <c r="AQ273" s="740"/>
      <c r="AR273" s="740"/>
      <c r="AS273" s="740"/>
      <c r="AT273" s="740"/>
      <c r="AU273" s="740"/>
      <c r="AV273" s="740"/>
      <c r="AW273" s="740"/>
      <c r="AX273" s="740"/>
      <c r="AY273" s="740"/>
      <c r="AZ273" s="740"/>
      <c r="BA273" s="740"/>
      <c r="BB273" s="740"/>
      <c r="BC273" s="740"/>
      <c r="BD273" s="740"/>
      <c r="BE273" s="740"/>
      <c r="BF273" s="740"/>
      <c r="BG273" s="740"/>
      <c r="BH273" s="740"/>
      <c r="BI273" s="740"/>
      <c r="BJ273" s="740"/>
      <c r="BK273" s="740"/>
      <c r="BL273" s="740"/>
      <c r="BM273" s="740"/>
      <c r="BN273" s="740"/>
      <c r="BO273" s="740"/>
      <c r="BP273" s="740"/>
      <c r="BQ273" s="740"/>
      <c r="BR273" s="740"/>
      <c r="BS273" s="740"/>
      <c r="BT273" s="740"/>
      <c r="BU273" s="740"/>
      <c r="BV273" s="740"/>
      <c r="BW273" s="740"/>
      <c r="BX273" s="740"/>
      <c r="BY273" s="740"/>
      <c r="BZ273" s="740"/>
      <c r="CA273" s="740"/>
      <c r="CB273" s="740"/>
      <c r="CC273" s="740"/>
      <c r="CD273" s="740"/>
      <c r="CE273" s="740"/>
      <c r="CF273" s="740"/>
      <c r="CG273" s="740"/>
      <c r="CH273" s="740"/>
      <c r="CI273" s="740"/>
      <c r="CJ273" s="740"/>
      <c r="CK273" s="740"/>
      <c r="CL273" s="740"/>
      <c r="CM273" s="740"/>
      <c r="CN273" s="740"/>
      <c r="CO273" s="740"/>
      <c r="CP273" s="740"/>
      <c r="CQ273" s="740"/>
      <c r="CR273" s="740"/>
      <c r="CS273" s="740"/>
      <c r="CT273" s="740"/>
      <c r="CU273" s="740"/>
      <c r="CV273" s="740"/>
      <c r="CW273" s="740"/>
      <c r="CX273" s="740"/>
      <c r="CY273" s="740"/>
      <c r="CZ273" s="740"/>
      <c r="DA273" s="740"/>
      <c r="DB273" s="740"/>
      <c r="DC273" s="740"/>
      <c r="DD273" s="740"/>
      <c r="DE273" s="740"/>
      <c r="DF273" s="740"/>
      <c r="DG273" s="740"/>
      <c r="DH273" s="740"/>
      <c r="DI273" s="740"/>
      <c r="DJ273" s="740"/>
      <c r="DK273" s="740"/>
      <c r="DL273" s="740"/>
      <c r="DM273" s="740"/>
      <c r="DN273" s="740"/>
      <c r="DO273" s="740"/>
      <c r="DP273" s="740"/>
      <c r="DQ273" s="740"/>
      <c r="DR273" s="740"/>
      <c r="DS273" s="740"/>
      <c r="DT273" s="740"/>
      <c r="DU273" s="740"/>
      <c r="DV273" s="740"/>
      <c r="DW273" s="740"/>
      <c r="DX273" s="740"/>
      <c r="DY273" s="740"/>
      <c r="DZ273" s="740"/>
      <c r="EA273" s="740"/>
      <c r="EB273" s="740"/>
      <c r="EC273" s="740"/>
      <c r="ED273" s="740"/>
      <c r="EE273" s="740"/>
      <c r="EF273" s="740"/>
      <c r="EG273" s="740"/>
      <c r="EH273" s="740"/>
      <c r="EI273" s="740"/>
      <c r="EJ273" s="740"/>
      <c r="EK273" s="740"/>
      <c r="EL273" s="740"/>
      <c r="EM273" s="740"/>
      <c r="EN273" s="740"/>
      <c r="EO273" s="740"/>
      <c r="EP273" s="740"/>
      <c r="EQ273" s="740"/>
      <c r="ER273" s="740"/>
      <c r="ES273" s="740"/>
      <c r="ET273" s="740"/>
      <c r="EU273" s="740"/>
      <c r="EV273" s="740"/>
      <c r="EW273" s="740"/>
      <c r="EX273" s="740"/>
      <c r="EY273" s="740"/>
      <c r="EZ273" s="740"/>
      <c r="FA273" s="740"/>
      <c r="FB273" s="740"/>
      <c r="FC273" s="740"/>
      <c r="FD273" s="740"/>
      <c r="FE273" s="740"/>
      <c r="FF273" s="740"/>
      <c r="FG273" s="740"/>
      <c r="FH273" s="740"/>
      <c r="FI273" s="740"/>
      <c r="FJ273" s="740"/>
      <c r="FK273" s="740"/>
      <c r="FL273" s="740"/>
      <c r="FM273" s="740"/>
      <c r="FN273" s="740"/>
      <c r="FO273" s="740"/>
      <c r="FP273" s="740"/>
      <c r="FQ273" s="740"/>
      <c r="FR273" s="740"/>
      <c r="FS273" s="740"/>
      <c r="FT273" s="740"/>
      <c r="FU273" s="740"/>
      <c r="FV273" s="740"/>
      <c r="FW273" s="740"/>
      <c r="FX273" s="740"/>
      <c r="FY273" s="740"/>
      <c r="FZ273" s="740"/>
      <c r="GA273" s="740"/>
      <c r="GB273" s="740"/>
      <c r="GC273" s="740"/>
      <c r="GD273" s="740"/>
      <c r="GE273" s="740"/>
      <c r="GF273" s="740"/>
      <c r="GG273" s="740"/>
      <c r="GH273" s="740"/>
      <c r="GI273" s="740"/>
      <c r="GJ273" s="740"/>
      <c r="GK273" s="740"/>
      <c r="GL273" s="740"/>
      <c r="GM273" s="740"/>
      <c r="GN273" s="740"/>
      <c r="GO273" s="740"/>
      <c r="GP273" s="740"/>
      <c r="GQ273" s="740"/>
      <c r="GR273" s="740"/>
      <c r="GS273" s="740"/>
      <c r="GT273" s="740"/>
      <c r="GU273" s="740"/>
      <c r="GV273" s="740"/>
      <c r="GW273" s="740"/>
    </row>
    <row r="274" spans="18:205" ht="24" customHeight="1" x14ac:dyDescent="0.2">
      <c r="R274" s="740"/>
      <c r="S274" s="740"/>
      <c r="T274" s="740"/>
      <c r="U274" s="740"/>
      <c r="V274" s="740"/>
      <c r="W274" s="740"/>
      <c r="X274" s="740"/>
      <c r="Y274" s="740"/>
      <c r="Z274" s="740"/>
      <c r="AA274" s="740"/>
      <c r="AB274" s="740"/>
      <c r="AC274" s="740"/>
      <c r="AD274" s="740"/>
      <c r="AE274" s="740"/>
      <c r="AF274" s="740"/>
      <c r="AG274" s="740"/>
      <c r="AH274" s="740"/>
      <c r="AI274" s="740"/>
      <c r="AJ274" s="740"/>
      <c r="AK274" s="740"/>
      <c r="AL274" s="740"/>
      <c r="AM274" s="740"/>
      <c r="AN274" s="740"/>
      <c r="AO274" s="740"/>
      <c r="AP274" s="740"/>
      <c r="AQ274" s="740"/>
      <c r="AR274" s="740"/>
      <c r="AS274" s="740"/>
      <c r="AT274" s="740"/>
      <c r="AU274" s="740"/>
      <c r="AV274" s="740"/>
      <c r="AW274" s="740"/>
      <c r="AX274" s="740"/>
      <c r="AY274" s="740"/>
      <c r="AZ274" s="740"/>
      <c r="BA274" s="740"/>
      <c r="BB274" s="740"/>
      <c r="BC274" s="740"/>
      <c r="BD274" s="740"/>
      <c r="BE274" s="740"/>
      <c r="BF274" s="740"/>
      <c r="BG274" s="740"/>
      <c r="BH274" s="740"/>
      <c r="BI274" s="740"/>
      <c r="BJ274" s="740"/>
      <c r="BK274" s="740"/>
      <c r="BL274" s="740"/>
      <c r="BM274" s="740"/>
      <c r="BN274" s="740"/>
      <c r="BO274" s="740"/>
      <c r="BP274" s="740"/>
      <c r="BQ274" s="740"/>
      <c r="BR274" s="740"/>
      <c r="BS274" s="740"/>
      <c r="BT274" s="740"/>
      <c r="BU274" s="740"/>
      <c r="BV274" s="740"/>
      <c r="BW274" s="740"/>
      <c r="BX274" s="740"/>
      <c r="BY274" s="740"/>
      <c r="BZ274" s="740"/>
      <c r="CA274" s="740"/>
      <c r="CB274" s="740"/>
      <c r="CC274" s="740"/>
      <c r="CD274" s="740"/>
      <c r="CE274" s="740"/>
      <c r="CF274" s="740"/>
      <c r="CG274" s="740"/>
      <c r="CH274" s="740"/>
      <c r="CI274" s="740"/>
      <c r="CJ274" s="740"/>
      <c r="CK274" s="740"/>
      <c r="CL274" s="740"/>
      <c r="CM274" s="740"/>
      <c r="CN274" s="740"/>
      <c r="CO274" s="740"/>
      <c r="CP274" s="740"/>
      <c r="CQ274" s="740"/>
      <c r="CR274" s="740"/>
      <c r="CS274" s="740"/>
      <c r="CT274" s="740"/>
      <c r="CU274" s="740"/>
      <c r="CV274" s="740"/>
      <c r="CW274" s="740"/>
      <c r="CX274" s="740"/>
      <c r="CY274" s="740"/>
      <c r="CZ274" s="740"/>
      <c r="DA274" s="740"/>
      <c r="DB274" s="740"/>
      <c r="DC274" s="740"/>
      <c r="DD274" s="740"/>
      <c r="DE274" s="740"/>
      <c r="DF274" s="740"/>
      <c r="DG274" s="740"/>
      <c r="DH274" s="740"/>
      <c r="DI274" s="740"/>
      <c r="DJ274" s="740"/>
      <c r="DK274" s="740"/>
      <c r="DL274" s="740"/>
      <c r="DM274" s="740"/>
      <c r="DN274" s="740"/>
      <c r="DO274" s="740"/>
      <c r="DP274" s="740"/>
      <c r="DQ274" s="740"/>
      <c r="DR274" s="740"/>
      <c r="DS274" s="740"/>
      <c r="DT274" s="740"/>
      <c r="DU274" s="740"/>
      <c r="DV274" s="740"/>
      <c r="DW274" s="740"/>
      <c r="DX274" s="740"/>
      <c r="DY274" s="740"/>
      <c r="DZ274" s="740"/>
      <c r="EA274" s="740"/>
      <c r="EB274" s="740"/>
      <c r="EC274" s="740"/>
      <c r="ED274" s="740"/>
      <c r="EE274" s="740"/>
      <c r="EF274" s="740"/>
      <c r="EG274" s="740"/>
      <c r="EH274" s="740"/>
      <c r="EI274" s="740"/>
      <c r="EJ274" s="740"/>
      <c r="EK274" s="740"/>
      <c r="EL274" s="740"/>
      <c r="EM274" s="740"/>
      <c r="EN274" s="740"/>
      <c r="EO274" s="740"/>
      <c r="EP274" s="740"/>
      <c r="EQ274" s="740"/>
      <c r="ER274" s="740"/>
      <c r="ES274" s="740"/>
      <c r="ET274" s="740"/>
      <c r="EU274" s="740"/>
      <c r="EV274" s="740"/>
      <c r="EW274" s="740"/>
      <c r="EX274" s="740"/>
      <c r="EY274" s="740"/>
      <c r="EZ274" s="740"/>
      <c r="FA274" s="740"/>
      <c r="FB274" s="740"/>
      <c r="FC274" s="740"/>
      <c r="FD274" s="740"/>
      <c r="FE274" s="740"/>
      <c r="FF274" s="740"/>
      <c r="FG274" s="740"/>
      <c r="FH274" s="740"/>
      <c r="FI274" s="740"/>
      <c r="FJ274" s="740"/>
      <c r="FK274" s="740"/>
      <c r="FL274" s="740"/>
      <c r="FM274" s="740"/>
      <c r="FN274" s="740"/>
      <c r="FO274" s="740"/>
      <c r="FP274" s="740"/>
      <c r="FQ274" s="740"/>
      <c r="FR274" s="740"/>
      <c r="FS274" s="740"/>
      <c r="FT274" s="740"/>
      <c r="FU274" s="740"/>
      <c r="FV274" s="740"/>
      <c r="FW274" s="740"/>
      <c r="FX274" s="740"/>
      <c r="FY274" s="740"/>
      <c r="FZ274" s="740"/>
      <c r="GA274" s="740"/>
      <c r="GB274" s="740"/>
      <c r="GC274" s="740"/>
      <c r="GD274" s="740"/>
      <c r="GE274" s="740"/>
      <c r="GF274" s="740"/>
      <c r="GG274" s="740"/>
      <c r="GH274" s="740"/>
      <c r="GI274" s="740"/>
      <c r="GJ274" s="740"/>
      <c r="GK274" s="740"/>
      <c r="GL274" s="740"/>
      <c r="GM274" s="740"/>
      <c r="GN274" s="740"/>
      <c r="GO274" s="740"/>
      <c r="GP274" s="740"/>
      <c r="GQ274" s="740"/>
      <c r="GR274" s="740"/>
      <c r="GS274" s="740"/>
      <c r="GT274" s="740"/>
      <c r="GU274" s="740"/>
      <c r="GV274" s="740"/>
      <c r="GW274" s="740"/>
    </row>
    <row r="275" spans="18:205" ht="24" customHeight="1" x14ac:dyDescent="0.2">
      <c r="R275" s="740"/>
      <c r="S275" s="740"/>
      <c r="T275" s="740"/>
      <c r="U275" s="740"/>
      <c r="V275" s="740"/>
      <c r="W275" s="740"/>
      <c r="X275" s="740"/>
      <c r="Y275" s="740"/>
      <c r="Z275" s="740"/>
      <c r="AA275" s="740"/>
      <c r="AB275" s="740"/>
      <c r="AC275" s="740"/>
      <c r="AD275" s="740"/>
      <c r="AE275" s="740"/>
      <c r="AF275" s="740"/>
      <c r="AG275" s="740"/>
      <c r="AH275" s="740"/>
      <c r="AI275" s="740"/>
      <c r="AJ275" s="740"/>
      <c r="AK275" s="740"/>
      <c r="AL275" s="740"/>
      <c r="AM275" s="740"/>
      <c r="AN275" s="740"/>
      <c r="AO275" s="740"/>
      <c r="AP275" s="740"/>
      <c r="AQ275" s="740"/>
      <c r="AR275" s="740"/>
      <c r="AS275" s="740"/>
      <c r="AT275" s="740"/>
      <c r="AU275" s="740"/>
      <c r="AV275" s="740"/>
      <c r="AW275" s="740"/>
      <c r="AX275" s="740"/>
      <c r="AY275" s="740"/>
      <c r="AZ275" s="740"/>
      <c r="BA275" s="740"/>
      <c r="BB275" s="740"/>
      <c r="BC275" s="740"/>
      <c r="BD275" s="740"/>
      <c r="BE275" s="740"/>
      <c r="BF275" s="740"/>
      <c r="BG275" s="740"/>
      <c r="BH275" s="740"/>
      <c r="BI275" s="740"/>
      <c r="BJ275" s="740"/>
      <c r="BK275" s="740"/>
      <c r="BL275" s="740"/>
      <c r="BM275" s="740"/>
      <c r="BN275" s="740"/>
      <c r="BO275" s="740"/>
      <c r="BP275" s="740"/>
      <c r="BQ275" s="740"/>
      <c r="BR275" s="740"/>
      <c r="BS275" s="740"/>
      <c r="BT275" s="740"/>
      <c r="BU275" s="740"/>
      <c r="BV275" s="740"/>
      <c r="BW275" s="740"/>
      <c r="BX275" s="740"/>
      <c r="BY275" s="740"/>
      <c r="BZ275" s="740"/>
      <c r="CA275" s="740"/>
      <c r="CB275" s="740"/>
      <c r="CC275" s="740"/>
      <c r="CD275" s="740"/>
      <c r="CE275" s="740"/>
      <c r="CF275" s="740"/>
      <c r="CG275" s="740"/>
      <c r="CH275" s="740"/>
      <c r="CI275" s="740"/>
      <c r="CJ275" s="740"/>
      <c r="CK275" s="740"/>
      <c r="CL275" s="740"/>
      <c r="CM275" s="740"/>
      <c r="CN275" s="740"/>
      <c r="CO275" s="740"/>
      <c r="CP275" s="740"/>
      <c r="CQ275" s="740"/>
      <c r="CR275" s="740"/>
      <c r="CS275" s="740"/>
      <c r="CT275" s="740"/>
      <c r="CU275" s="740"/>
      <c r="CV275" s="740"/>
      <c r="CW275" s="740"/>
      <c r="CX275" s="740"/>
      <c r="CY275" s="740"/>
      <c r="CZ275" s="740"/>
      <c r="DA275" s="740"/>
      <c r="DB275" s="740"/>
      <c r="DC275" s="740"/>
      <c r="DD275" s="740"/>
      <c r="DE275" s="740"/>
      <c r="DF275" s="740"/>
      <c r="DG275" s="740"/>
      <c r="DH275" s="740"/>
      <c r="DI275" s="740"/>
      <c r="DJ275" s="740"/>
      <c r="DK275" s="740"/>
      <c r="DL275" s="740"/>
      <c r="DM275" s="740"/>
      <c r="DN275" s="740"/>
      <c r="DO275" s="740"/>
      <c r="DP275" s="740"/>
      <c r="DQ275" s="740"/>
      <c r="DR275" s="740"/>
      <c r="DS275" s="740"/>
      <c r="DT275" s="740"/>
      <c r="DU275" s="740"/>
      <c r="DV275" s="740"/>
      <c r="DW275" s="740"/>
      <c r="DX275" s="740"/>
      <c r="DY275" s="740"/>
      <c r="DZ275" s="740"/>
      <c r="EA275" s="740"/>
      <c r="EB275" s="740"/>
      <c r="EC275" s="740"/>
      <c r="ED275" s="740"/>
      <c r="EE275" s="740"/>
      <c r="EF275" s="740"/>
      <c r="EG275" s="740"/>
      <c r="EH275" s="740"/>
      <c r="EI275" s="740"/>
      <c r="EJ275" s="740"/>
      <c r="EK275" s="740"/>
      <c r="EL275" s="740"/>
      <c r="EM275" s="740"/>
      <c r="EN275" s="740"/>
      <c r="EO275" s="740"/>
      <c r="EP275" s="740"/>
      <c r="EQ275" s="740"/>
      <c r="ER275" s="740"/>
      <c r="ES275" s="740"/>
      <c r="ET275" s="740"/>
      <c r="EU275" s="740"/>
      <c r="EV275" s="740"/>
      <c r="EW275" s="740"/>
      <c r="EX275" s="740"/>
      <c r="EY275" s="740"/>
      <c r="EZ275" s="740"/>
      <c r="FA275" s="740"/>
      <c r="FB275" s="740"/>
      <c r="FC275" s="740"/>
      <c r="FD275" s="740"/>
      <c r="FE275" s="740"/>
      <c r="FF275" s="740"/>
      <c r="FG275" s="740"/>
      <c r="FH275" s="740"/>
      <c r="FI275" s="740"/>
      <c r="FJ275" s="740"/>
      <c r="FK275" s="740"/>
      <c r="FL275" s="740"/>
      <c r="FM275" s="740"/>
      <c r="FN275" s="740"/>
      <c r="FO275" s="740"/>
      <c r="FP275" s="740"/>
      <c r="FQ275" s="740"/>
      <c r="FR275" s="740"/>
      <c r="FS275" s="740"/>
      <c r="FT275" s="740"/>
      <c r="FU275" s="740"/>
      <c r="FV275" s="740"/>
      <c r="FW275" s="740"/>
      <c r="FX275" s="740"/>
      <c r="FY275" s="740"/>
      <c r="FZ275" s="740"/>
      <c r="GA275" s="740"/>
      <c r="GB275" s="740"/>
      <c r="GC275" s="740"/>
      <c r="GD275" s="740"/>
      <c r="GE275" s="740"/>
      <c r="GF275" s="740"/>
      <c r="GG275" s="740"/>
      <c r="GH275" s="740"/>
      <c r="GI275" s="740"/>
      <c r="GJ275" s="740"/>
      <c r="GK275" s="740"/>
      <c r="GL275" s="740"/>
      <c r="GM275" s="740"/>
      <c r="GN275" s="740"/>
      <c r="GO275" s="740"/>
      <c r="GP275" s="740"/>
      <c r="GQ275" s="740"/>
      <c r="GR275" s="740"/>
      <c r="GS275" s="740"/>
      <c r="GT275" s="740"/>
      <c r="GU275" s="740"/>
      <c r="GV275" s="740"/>
      <c r="GW275" s="740"/>
    </row>
    <row r="276" spans="18:205" ht="24" customHeight="1" x14ac:dyDescent="0.2">
      <c r="R276" s="740"/>
      <c r="S276" s="740"/>
      <c r="T276" s="740"/>
      <c r="U276" s="740"/>
      <c r="V276" s="740"/>
      <c r="W276" s="740"/>
      <c r="X276" s="740"/>
      <c r="Y276" s="740"/>
      <c r="Z276" s="740"/>
      <c r="AA276" s="740"/>
      <c r="AB276" s="740"/>
      <c r="AC276" s="740"/>
      <c r="AD276" s="740"/>
      <c r="AE276" s="740"/>
      <c r="AF276" s="740"/>
      <c r="AG276" s="740"/>
      <c r="AH276" s="740"/>
      <c r="AI276" s="740"/>
      <c r="AJ276" s="740"/>
      <c r="AK276" s="740"/>
      <c r="AL276" s="740"/>
      <c r="AM276" s="740"/>
      <c r="AN276" s="740"/>
      <c r="AO276" s="740"/>
      <c r="AP276" s="740"/>
      <c r="AQ276" s="740"/>
      <c r="AR276" s="740"/>
      <c r="AS276" s="740"/>
      <c r="AT276" s="740"/>
      <c r="AU276" s="740"/>
      <c r="AV276" s="740"/>
      <c r="AW276" s="740"/>
      <c r="AX276" s="740"/>
      <c r="AY276" s="740"/>
      <c r="AZ276" s="740"/>
      <c r="BA276" s="740"/>
      <c r="BB276" s="740"/>
      <c r="BC276" s="740"/>
      <c r="BD276" s="740"/>
      <c r="BE276" s="740"/>
      <c r="BF276" s="740"/>
      <c r="BG276" s="740"/>
      <c r="BH276" s="740"/>
      <c r="BI276" s="740"/>
      <c r="BJ276" s="740"/>
      <c r="BK276" s="740"/>
      <c r="BL276" s="740"/>
      <c r="BM276" s="740"/>
      <c r="BN276" s="740"/>
      <c r="BO276" s="740"/>
      <c r="BP276" s="740"/>
      <c r="BQ276" s="740"/>
      <c r="BR276" s="740"/>
      <c r="BS276" s="740"/>
      <c r="BT276" s="740"/>
      <c r="BU276" s="740"/>
      <c r="BV276" s="740"/>
      <c r="BW276" s="740"/>
      <c r="BX276" s="740"/>
      <c r="BY276" s="740"/>
      <c r="BZ276" s="740"/>
      <c r="CA276" s="740"/>
      <c r="CB276" s="740"/>
      <c r="CC276" s="740"/>
      <c r="CD276" s="740"/>
      <c r="CE276" s="740"/>
      <c r="CF276" s="740"/>
      <c r="CG276" s="740"/>
      <c r="CH276" s="740"/>
      <c r="CI276" s="740"/>
      <c r="CJ276" s="740"/>
      <c r="CK276" s="740"/>
      <c r="CL276" s="740"/>
      <c r="CM276" s="740"/>
      <c r="CN276" s="740"/>
      <c r="CO276" s="740"/>
      <c r="CP276" s="740"/>
      <c r="CQ276" s="740"/>
      <c r="CR276" s="740"/>
      <c r="CS276" s="740"/>
      <c r="CT276" s="740"/>
      <c r="CU276" s="740"/>
      <c r="CV276" s="740"/>
      <c r="CW276" s="740"/>
      <c r="CX276" s="740"/>
      <c r="CY276" s="740"/>
      <c r="CZ276" s="740"/>
      <c r="DA276" s="740"/>
      <c r="DB276" s="740"/>
      <c r="DC276" s="740"/>
      <c r="DD276" s="740"/>
      <c r="DE276" s="740"/>
      <c r="DF276" s="740"/>
      <c r="DG276" s="740"/>
      <c r="DH276" s="740"/>
      <c r="DI276" s="740"/>
      <c r="DJ276" s="740"/>
      <c r="DK276" s="740"/>
      <c r="DL276" s="740"/>
      <c r="DM276" s="740"/>
      <c r="DN276" s="740"/>
      <c r="DO276" s="740"/>
      <c r="DP276" s="740"/>
      <c r="DQ276" s="740"/>
      <c r="DR276" s="740"/>
      <c r="DS276" s="740"/>
      <c r="DT276" s="740"/>
      <c r="DU276" s="740"/>
      <c r="DV276" s="740"/>
      <c r="DW276" s="740"/>
      <c r="DX276" s="740"/>
      <c r="DY276" s="740"/>
      <c r="DZ276" s="740"/>
      <c r="EA276" s="740"/>
      <c r="EB276" s="740"/>
      <c r="EC276" s="740"/>
      <c r="ED276" s="740"/>
      <c r="EE276" s="740"/>
      <c r="EF276" s="740"/>
      <c r="EG276" s="740"/>
      <c r="EH276" s="740"/>
      <c r="EI276" s="740"/>
      <c r="EJ276" s="740"/>
      <c r="EK276" s="740"/>
      <c r="EL276" s="740"/>
      <c r="EM276" s="740"/>
      <c r="EN276" s="740"/>
      <c r="EO276" s="740"/>
      <c r="EP276" s="740"/>
      <c r="EQ276" s="740"/>
      <c r="ER276" s="740"/>
      <c r="ES276" s="740"/>
      <c r="ET276" s="740"/>
      <c r="EU276" s="740"/>
      <c r="EV276" s="740"/>
      <c r="EW276" s="740"/>
      <c r="EX276" s="740"/>
      <c r="EY276" s="740"/>
      <c r="EZ276" s="740"/>
      <c r="FA276" s="740"/>
      <c r="FB276" s="740"/>
      <c r="FC276" s="740"/>
      <c r="FD276" s="740"/>
      <c r="FE276" s="740"/>
      <c r="FF276" s="740"/>
      <c r="FG276" s="740"/>
      <c r="FH276" s="740"/>
      <c r="FI276" s="740"/>
      <c r="FJ276" s="740"/>
      <c r="FK276" s="740"/>
      <c r="FL276" s="740"/>
      <c r="FM276" s="740"/>
      <c r="FN276" s="740"/>
      <c r="FO276" s="740"/>
      <c r="FP276" s="740"/>
      <c r="FQ276" s="740"/>
      <c r="FR276" s="740"/>
      <c r="FS276" s="740"/>
      <c r="FT276" s="740"/>
      <c r="FU276" s="740"/>
      <c r="FV276" s="740"/>
      <c r="FW276" s="740"/>
      <c r="FX276" s="740"/>
      <c r="FY276" s="740"/>
      <c r="FZ276" s="740"/>
      <c r="GA276" s="740"/>
      <c r="GB276" s="740"/>
      <c r="GC276" s="740"/>
      <c r="GD276" s="740"/>
      <c r="GE276" s="740"/>
      <c r="GF276" s="740"/>
      <c r="GG276" s="740"/>
      <c r="GH276" s="740"/>
      <c r="GI276" s="740"/>
      <c r="GJ276" s="740"/>
      <c r="GK276" s="740"/>
      <c r="GL276" s="740"/>
      <c r="GM276" s="740"/>
      <c r="GN276" s="740"/>
      <c r="GO276" s="740"/>
      <c r="GP276" s="740"/>
      <c r="GQ276" s="740"/>
      <c r="GR276" s="740"/>
      <c r="GS276" s="740"/>
      <c r="GT276" s="740"/>
      <c r="GU276" s="740"/>
      <c r="GV276" s="740"/>
      <c r="GW276" s="740"/>
    </row>
    <row r="277" spans="18:205" ht="24" customHeight="1" x14ac:dyDescent="0.2">
      <c r="R277" s="740"/>
      <c r="S277" s="740"/>
      <c r="T277" s="740"/>
      <c r="U277" s="740"/>
      <c r="V277" s="740"/>
      <c r="W277" s="740"/>
      <c r="X277" s="740"/>
      <c r="Y277" s="740"/>
      <c r="Z277" s="740"/>
      <c r="AA277" s="740"/>
      <c r="AB277" s="740"/>
      <c r="AC277" s="740"/>
      <c r="AD277" s="740"/>
      <c r="AE277" s="740"/>
      <c r="AF277" s="740"/>
      <c r="AG277" s="740"/>
      <c r="AH277" s="740"/>
      <c r="AI277" s="740"/>
      <c r="AJ277" s="740"/>
      <c r="AK277" s="740"/>
      <c r="AL277" s="740"/>
      <c r="AM277" s="740"/>
      <c r="AN277" s="740"/>
      <c r="AO277" s="740"/>
      <c r="AP277" s="740"/>
      <c r="AQ277" s="740"/>
      <c r="AR277" s="740"/>
      <c r="AS277" s="740"/>
      <c r="AT277" s="740"/>
      <c r="AU277" s="740"/>
      <c r="AV277" s="740"/>
      <c r="AW277" s="740"/>
      <c r="AX277" s="740"/>
      <c r="AY277" s="740"/>
      <c r="AZ277" s="740"/>
      <c r="BA277" s="740"/>
      <c r="BB277" s="740"/>
      <c r="BC277" s="740"/>
      <c r="BD277" s="740"/>
      <c r="BE277" s="740"/>
      <c r="BF277" s="740"/>
      <c r="BG277" s="740"/>
      <c r="BH277" s="740"/>
      <c r="BI277" s="740"/>
      <c r="BJ277" s="740"/>
      <c r="BK277" s="740"/>
      <c r="BL277" s="740"/>
      <c r="BM277" s="740"/>
      <c r="BN277" s="740"/>
      <c r="BO277" s="740"/>
      <c r="BP277" s="740"/>
      <c r="BQ277" s="740"/>
      <c r="BR277" s="740"/>
      <c r="BS277" s="740"/>
      <c r="BT277" s="740"/>
      <c r="BU277" s="740"/>
      <c r="BV277" s="740"/>
      <c r="BW277" s="740"/>
      <c r="BX277" s="740"/>
      <c r="BY277" s="740"/>
      <c r="BZ277" s="740"/>
      <c r="CA277" s="740"/>
      <c r="CB277" s="740"/>
      <c r="CC277" s="740"/>
      <c r="CD277" s="740"/>
      <c r="CE277" s="740"/>
      <c r="CF277" s="740"/>
      <c r="CG277" s="740"/>
      <c r="CH277" s="740"/>
      <c r="CI277" s="740"/>
      <c r="CJ277" s="740"/>
      <c r="CK277" s="740"/>
      <c r="CL277" s="740"/>
      <c r="CM277" s="740"/>
      <c r="CN277" s="740"/>
      <c r="CO277" s="740"/>
      <c r="CP277" s="740"/>
      <c r="CQ277" s="740"/>
      <c r="CR277" s="740"/>
      <c r="CS277" s="740"/>
      <c r="CT277" s="740"/>
      <c r="CU277" s="740"/>
      <c r="CV277" s="740"/>
      <c r="CW277" s="740"/>
      <c r="CX277" s="740"/>
      <c r="CY277" s="740"/>
      <c r="CZ277" s="740"/>
      <c r="DA277" s="740"/>
      <c r="DB277" s="740"/>
      <c r="DC277" s="740"/>
      <c r="DD277" s="740"/>
      <c r="DE277" s="740"/>
      <c r="DF277" s="740"/>
      <c r="DG277" s="740"/>
      <c r="DH277" s="740"/>
      <c r="DI277" s="740"/>
      <c r="DJ277" s="740"/>
      <c r="DK277" s="740"/>
      <c r="DL277" s="740"/>
      <c r="DM277" s="740"/>
      <c r="DN277" s="740"/>
      <c r="DO277" s="740"/>
      <c r="DP277" s="740"/>
      <c r="DQ277" s="740"/>
      <c r="DR277" s="740"/>
      <c r="DS277" s="740"/>
      <c r="DT277" s="740"/>
      <c r="DU277" s="740"/>
      <c r="DV277" s="740"/>
      <c r="DW277" s="740"/>
      <c r="DX277" s="740"/>
      <c r="DY277" s="740"/>
      <c r="DZ277" s="740"/>
      <c r="EA277" s="740"/>
      <c r="EB277" s="740"/>
      <c r="EC277" s="740"/>
      <c r="ED277" s="740"/>
      <c r="EE277" s="740"/>
      <c r="EF277" s="740"/>
      <c r="EG277" s="740"/>
      <c r="EH277" s="740"/>
      <c r="EI277" s="740"/>
      <c r="EJ277" s="740"/>
      <c r="EK277" s="740"/>
      <c r="EL277" s="740"/>
      <c r="EM277" s="740"/>
      <c r="EN277" s="740"/>
      <c r="EO277" s="740"/>
      <c r="EP277" s="740"/>
      <c r="EQ277" s="740"/>
      <c r="ER277" s="740"/>
      <c r="ES277" s="740"/>
      <c r="ET277" s="740"/>
      <c r="EU277" s="740"/>
      <c r="EV277" s="740"/>
      <c r="EW277" s="740"/>
      <c r="EX277" s="740"/>
      <c r="EY277" s="740"/>
      <c r="EZ277" s="740"/>
      <c r="FA277" s="740"/>
      <c r="FB277" s="740"/>
      <c r="FC277" s="740"/>
      <c r="FD277" s="740"/>
      <c r="FE277" s="740"/>
      <c r="FF277" s="740"/>
      <c r="FG277" s="740"/>
      <c r="FH277" s="740"/>
      <c r="FI277" s="740"/>
      <c r="FJ277" s="740"/>
      <c r="FK277" s="740"/>
      <c r="FL277" s="740"/>
      <c r="FM277" s="740"/>
      <c r="FN277" s="740"/>
      <c r="FO277" s="740"/>
      <c r="FP277" s="740"/>
      <c r="FQ277" s="740"/>
      <c r="FR277" s="740"/>
      <c r="FS277" s="740"/>
      <c r="FT277" s="740"/>
      <c r="FU277" s="740"/>
      <c r="FV277" s="740"/>
      <c r="FW277" s="740"/>
      <c r="FX277" s="740"/>
      <c r="FY277" s="740"/>
      <c r="FZ277" s="740"/>
      <c r="GA277" s="740"/>
      <c r="GB277" s="740"/>
      <c r="GC277" s="740"/>
      <c r="GD277" s="740"/>
      <c r="GE277" s="740"/>
      <c r="GF277" s="740"/>
      <c r="GG277" s="740"/>
      <c r="GH277" s="740"/>
      <c r="GI277" s="740"/>
      <c r="GJ277" s="740"/>
      <c r="GK277" s="740"/>
      <c r="GL277" s="740"/>
      <c r="GM277" s="740"/>
      <c r="GN277" s="740"/>
      <c r="GO277" s="740"/>
      <c r="GP277" s="740"/>
      <c r="GQ277" s="740"/>
      <c r="GR277" s="740"/>
      <c r="GS277" s="740"/>
      <c r="GT277" s="740"/>
      <c r="GU277" s="740"/>
      <c r="GV277" s="740"/>
      <c r="GW277" s="740"/>
    </row>
    <row r="278" spans="18:205" ht="24" customHeight="1" x14ac:dyDescent="0.2">
      <c r="R278" s="740"/>
      <c r="S278" s="740"/>
      <c r="T278" s="740"/>
      <c r="U278" s="740"/>
      <c r="V278" s="740"/>
      <c r="W278" s="740"/>
      <c r="X278" s="740"/>
      <c r="Y278" s="740"/>
      <c r="Z278" s="740"/>
      <c r="AA278" s="740"/>
      <c r="AB278" s="740"/>
      <c r="AC278" s="740"/>
      <c r="AD278" s="740"/>
      <c r="AE278" s="740"/>
      <c r="AF278" s="740"/>
      <c r="AG278" s="740"/>
      <c r="AH278" s="740"/>
      <c r="AI278" s="740"/>
      <c r="AJ278" s="740"/>
      <c r="AK278" s="740"/>
      <c r="AL278" s="740"/>
      <c r="AM278" s="740"/>
      <c r="AN278" s="740"/>
      <c r="AO278" s="740"/>
      <c r="AP278" s="740"/>
      <c r="AQ278" s="740"/>
      <c r="AR278" s="740"/>
      <c r="AS278" s="740"/>
      <c r="AT278" s="740"/>
      <c r="AU278" s="740"/>
      <c r="AV278" s="740"/>
      <c r="AW278" s="740"/>
      <c r="AX278" s="740"/>
      <c r="AY278" s="740"/>
      <c r="AZ278" s="740"/>
      <c r="BA278" s="740"/>
      <c r="BB278" s="740"/>
      <c r="BC278" s="740"/>
      <c r="BD278" s="740"/>
      <c r="BE278" s="740"/>
      <c r="BF278" s="740"/>
      <c r="BG278" s="740"/>
      <c r="BH278" s="740"/>
      <c r="BI278" s="740"/>
      <c r="BJ278" s="740"/>
      <c r="BK278" s="740"/>
      <c r="BL278" s="740"/>
      <c r="BM278" s="740"/>
      <c r="BN278" s="740"/>
      <c r="BO278" s="740"/>
      <c r="BP278" s="740"/>
      <c r="BQ278" s="740"/>
      <c r="BR278" s="740"/>
      <c r="BS278" s="740"/>
      <c r="BT278" s="740"/>
      <c r="BU278" s="740"/>
      <c r="BV278" s="740"/>
      <c r="BW278" s="740"/>
      <c r="BX278" s="740"/>
      <c r="BY278" s="740"/>
      <c r="BZ278" s="740"/>
      <c r="CA278" s="740"/>
      <c r="CB278" s="740"/>
      <c r="CC278" s="740"/>
      <c r="CD278" s="740"/>
      <c r="CE278" s="740"/>
      <c r="CF278" s="740"/>
      <c r="CG278" s="740"/>
      <c r="CH278" s="740"/>
      <c r="CI278" s="740"/>
      <c r="CJ278" s="740"/>
      <c r="CK278" s="740"/>
      <c r="CL278" s="740"/>
      <c r="CM278" s="740"/>
      <c r="CN278" s="740"/>
      <c r="CO278" s="740"/>
      <c r="CP278" s="740"/>
      <c r="CQ278" s="740"/>
      <c r="CR278" s="740"/>
      <c r="CS278" s="740"/>
      <c r="CT278" s="740"/>
      <c r="CU278" s="740"/>
      <c r="CV278" s="740"/>
      <c r="CW278" s="740"/>
      <c r="CX278" s="740"/>
      <c r="CY278" s="740"/>
      <c r="CZ278" s="740"/>
      <c r="DA278" s="740"/>
      <c r="DB278" s="740"/>
      <c r="DC278" s="740"/>
      <c r="DD278" s="740"/>
      <c r="DE278" s="740"/>
      <c r="DF278" s="740"/>
      <c r="DG278" s="740"/>
      <c r="DH278" s="740"/>
      <c r="DI278" s="740"/>
      <c r="DJ278" s="740"/>
      <c r="DK278" s="740"/>
      <c r="DL278" s="740"/>
      <c r="DM278" s="740"/>
      <c r="DN278" s="740"/>
      <c r="DO278" s="740"/>
      <c r="DP278" s="740"/>
      <c r="DQ278" s="740"/>
      <c r="DR278" s="740"/>
      <c r="DS278" s="740"/>
      <c r="DT278" s="740"/>
      <c r="DU278" s="740"/>
      <c r="DV278" s="740"/>
      <c r="DW278" s="740"/>
      <c r="DX278" s="740"/>
      <c r="DY278" s="740"/>
      <c r="DZ278" s="740"/>
      <c r="EA278" s="740"/>
      <c r="EB278" s="740"/>
      <c r="EC278" s="740"/>
      <c r="ED278" s="740"/>
      <c r="EE278" s="740"/>
      <c r="EF278" s="740"/>
      <c r="EG278" s="740"/>
      <c r="EH278" s="740"/>
      <c r="EI278" s="740"/>
      <c r="EJ278" s="740"/>
      <c r="EK278" s="740"/>
      <c r="EL278" s="740"/>
      <c r="EM278" s="740"/>
      <c r="EN278" s="740"/>
      <c r="EO278" s="740"/>
      <c r="EP278" s="740"/>
      <c r="EQ278" s="740"/>
      <c r="ER278" s="740"/>
      <c r="ES278" s="740"/>
      <c r="ET278" s="740"/>
      <c r="EU278" s="740"/>
      <c r="EV278" s="740"/>
      <c r="EW278" s="740"/>
      <c r="EX278" s="740"/>
      <c r="EY278" s="740"/>
      <c r="EZ278" s="740"/>
      <c r="FA278" s="740"/>
      <c r="FB278" s="740"/>
      <c r="FC278" s="740"/>
      <c r="FD278" s="740"/>
      <c r="FE278" s="740"/>
      <c r="FF278" s="740"/>
      <c r="FG278" s="740"/>
      <c r="FH278" s="740"/>
      <c r="FI278" s="740"/>
      <c r="FJ278" s="740"/>
      <c r="FK278" s="740"/>
      <c r="FL278" s="740"/>
      <c r="FM278" s="740"/>
      <c r="FN278" s="740"/>
      <c r="FO278" s="740"/>
      <c r="FP278" s="740"/>
      <c r="FQ278" s="740"/>
      <c r="FR278" s="740"/>
      <c r="FS278" s="740"/>
      <c r="FT278" s="740"/>
      <c r="FU278" s="740"/>
      <c r="FV278" s="740"/>
      <c r="FW278" s="740"/>
      <c r="FX278" s="740"/>
      <c r="FY278" s="740"/>
      <c r="FZ278" s="740"/>
      <c r="GA278" s="740"/>
      <c r="GB278" s="740"/>
      <c r="GC278" s="740"/>
      <c r="GD278" s="740"/>
      <c r="GE278" s="740"/>
      <c r="GF278" s="740"/>
      <c r="GG278" s="740"/>
      <c r="GH278" s="740"/>
      <c r="GI278" s="740"/>
      <c r="GJ278" s="740"/>
      <c r="GK278" s="740"/>
      <c r="GL278" s="740"/>
      <c r="GM278" s="740"/>
      <c r="GN278" s="740"/>
      <c r="GO278" s="740"/>
      <c r="GP278" s="740"/>
      <c r="GQ278" s="740"/>
      <c r="GR278" s="740"/>
      <c r="GS278" s="740"/>
      <c r="GT278" s="740"/>
      <c r="GU278" s="740"/>
      <c r="GV278" s="740"/>
      <c r="GW278" s="740"/>
    </row>
    <row r="279" spans="18:205" ht="24" customHeight="1" x14ac:dyDescent="0.2">
      <c r="R279" s="740"/>
      <c r="S279" s="740"/>
      <c r="T279" s="740"/>
      <c r="U279" s="740"/>
      <c r="V279" s="740"/>
      <c r="W279" s="740"/>
      <c r="X279" s="740"/>
      <c r="Y279" s="740"/>
      <c r="Z279" s="740"/>
      <c r="AA279" s="740"/>
      <c r="AB279" s="740"/>
      <c r="AC279" s="740"/>
      <c r="AD279" s="740"/>
      <c r="AE279" s="740"/>
      <c r="AF279" s="740"/>
      <c r="AG279" s="740"/>
      <c r="AH279" s="740"/>
      <c r="AI279" s="740"/>
      <c r="AJ279" s="740"/>
      <c r="AK279" s="740"/>
      <c r="AL279" s="740"/>
      <c r="AM279" s="740"/>
      <c r="AN279" s="740"/>
      <c r="AO279" s="740"/>
      <c r="AP279" s="740"/>
      <c r="AQ279" s="740"/>
      <c r="AR279" s="740"/>
      <c r="AS279" s="740"/>
      <c r="AT279" s="740"/>
      <c r="AU279" s="740"/>
      <c r="AV279" s="740"/>
      <c r="AW279" s="740"/>
      <c r="AX279" s="740"/>
      <c r="AY279" s="740"/>
      <c r="AZ279" s="740"/>
      <c r="BA279" s="740"/>
      <c r="BB279" s="740"/>
      <c r="BC279" s="740"/>
      <c r="BD279" s="740"/>
      <c r="BE279" s="740"/>
      <c r="BF279" s="740"/>
      <c r="BG279" s="740"/>
      <c r="BH279" s="740"/>
      <c r="BI279" s="740"/>
      <c r="BJ279" s="740"/>
      <c r="BK279" s="740"/>
      <c r="BL279" s="740"/>
      <c r="BM279" s="740"/>
      <c r="BN279" s="740"/>
      <c r="BO279" s="740"/>
      <c r="BP279" s="740"/>
      <c r="BQ279" s="740"/>
      <c r="BR279" s="740"/>
      <c r="BS279" s="740"/>
      <c r="BT279" s="740"/>
      <c r="BU279" s="740"/>
      <c r="BV279" s="740"/>
      <c r="BW279" s="740"/>
      <c r="BX279" s="740"/>
      <c r="BY279" s="740"/>
      <c r="BZ279" s="740"/>
      <c r="CA279" s="740"/>
      <c r="CB279" s="740"/>
      <c r="CC279" s="740"/>
      <c r="CD279" s="740"/>
      <c r="CE279" s="740"/>
      <c r="CF279" s="740"/>
      <c r="CG279" s="740"/>
      <c r="CH279" s="740"/>
      <c r="CI279" s="740"/>
      <c r="CJ279" s="740"/>
      <c r="CK279" s="740"/>
      <c r="CL279" s="740"/>
      <c r="CM279" s="740"/>
      <c r="CN279" s="740"/>
      <c r="CO279" s="740"/>
      <c r="CP279" s="740"/>
      <c r="CQ279" s="740"/>
      <c r="CR279" s="740"/>
      <c r="CS279" s="740"/>
      <c r="CT279" s="740"/>
      <c r="CU279" s="740"/>
      <c r="CV279" s="740"/>
      <c r="CW279" s="740"/>
      <c r="CX279" s="740"/>
      <c r="CY279" s="740"/>
      <c r="CZ279" s="740"/>
      <c r="DA279" s="740"/>
      <c r="DB279" s="740"/>
      <c r="DC279" s="740"/>
      <c r="DD279" s="740"/>
      <c r="DE279" s="740"/>
      <c r="DF279" s="740"/>
      <c r="DG279" s="740"/>
      <c r="DH279" s="740"/>
      <c r="DI279" s="740"/>
      <c r="DJ279" s="740"/>
      <c r="DK279" s="740"/>
      <c r="DL279" s="740"/>
      <c r="DM279" s="740"/>
      <c r="DN279" s="740"/>
      <c r="DO279" s="740"/>
      <c r="DP279" s="740"/>
      <c r="DQ279" s="740"/>
      <c r="DR279" s="740"/>
      <c r="DS279" s="740"/>
      <c r="DT279" s="740"/>
      <c r="DU279" s="740"/>
      <c r="DV279" s="740"/>
      <c r="DW279" s="740"/>
      <c r="DX279" s="740"/>
      <c r="DY279" s="740"/>
      <c r="DZ279" s="740"/>
      <c r="EA279" s="740"/>
      <c r="EB279" s="740"/>
      <c r="EC279" s="740"/>
      <c r="ED279" s="740"/>
      <c r="EE279" s="740"/>
      <c r="EF279" s="740"/>
      <c r="EG279" s="740"/>
      <c r="EH279" s="740"/>
      <c r="EI279" s="740"/>
      <c r="EJ279" s="740"/>
      <c r="EK279" s="740"/>
      <c r="EL279" s="740"/>
      <c r="EM279" s="740"/>
      <c r="EN279" s="740"/>
      <c r="EO279" s="740"/>
      <c r="EP279" s="740"/>
      <c r="EQ279" s="740"/>
      <c r="ER279" s="740"/>
      <c r="ES279" s="740"/>
      <c r="ET279" s="740"/>
      <c r="EU279" s="740"/>
      <c r="EV279" s="740"/>
      <c r="EW279" s="740"/>
      <c r="EX279" s="740"/>
      <c r="EY279" s="740"/>
      <c r="EZ279" s="740"/>
      <c r="FA279" s="740"/>
      <c r="FB279" s="740"/>
      <c r="FC279" s="740"/>
      <c r="FD279" s="740"/>
      <c r="FE279" s="740"/>
      <c r="FF279" s="740"/>
      <c r="FG279" s="740"/>
      <c r="FH279" s="740"/>
      <c r="FI279" s="740"/>
      <c r="FJ279" s="740"/>
      <c r="FK279" s="740"/>
      <c r="FL279" s="740"/>
      <c r="FM279" s="740"/>
      <c r="FN279" s="740"/>
      <c r="FO279" s="740"/>
      <c r="FP279" s="740"/>
      <c r="FQ279" s="740"/>
      <c r="FR279" s="740"/>
      <c r="FS279" s="740"/>
      <c r="FT279" s="740"/>
      <c r="FU279" s="740"/>
      <c r="FV279" s="740"/>
      <c r="FW279" s="740"/>
      <c r="FX279" s="740"/>
      <c r="FY279" s="740"/>
      <c r="FZ279" s="740"/>
      <c r="GA279" s="740"/>
      <c r="GB279" s="740"/>
      <c r="GC279" s="740"/>
      <c r="GD279" s="740"/>
      <c r="GE279" s="740"/>
      <c r="GF279" s="740"/>
      <c r="GG279" s="740"/>
      <c r="GH279" s="740"/>
      <c r="GI279" s="740"/>
      <c r="GJ279" s="740"/>
      <c r="GK279" s="740"/>
      <c r="GL279" s="740"/>
      <c r="GM279" s="740"/>
      <c r="GN279" s="740"/>
      <c r="GO279" s="740"/>
      <c r="GP279" s="740"/>
      <c r="GQ279" s="740"/>
      <c r="GR279" s="740"/>
      <c r="GS279" s="740"/>
      <c r="GT279" s="740"/>
      <c r="GU279" s="740"/>
      <c r="GV279" s="740"/>
      <c r="GW279" s="740"/>
    </row>
    <row r="280" spans="18:205" ht="24" customHeight="1" x14ac:dyDescent="0.2">
      <c r="R280" s="740"/>
      <c r="S280" s="740"/>
      <c r="T280" s="740"/>
      <c r="U280" s="740"/>
      <c r="V280" s="740"/>
      <c r="W280" s="740"/>
      <c r="X280" s="740"/>
      <c r="Y280" s="740"/>
      <c r="Z280" s="740"/>
      <c r="AA280" s="740"/>
      <c r="AB280" s="740"/>
      <c r="AC280" s="740"/>
      <c r="AD280" s="740"/>
      <c r="AE280" s="740"/>
      <c r="AF280" s="740"/>
      <c r="AG280" s="740"/>
      <c r="AH280" s="740"/>
      <c r="AI280" s="740"/>
      <c r="AJ280" s="740"/>
      <c r="AK280" s="740"/>
      <c r="AL280" s="740"/>
      <c r="AM280" s="740"/>
      <c r="AN280" s="740"/>
      <c r="AO280" s="740"/>
      <c r="AP280" s="740"/>
      <c r="AQ280" s="740"/>
      <c r="AR280" s="740"/>
      <c r="AS280" s="740"/>
      <c r="AT280" s="740"/>
      <c r="AU280" s="740"/>
      <c r="AV280" s="740"/>
      <c r="AW280" s="740"/>
      <c r="AX280" s="740"/>
      <c r="AY280" s="740"/>
      <c r="AZ280" s="740"/>
      <c r="BA280" s="740"/>
      <c r="BB280" s="740"/>
      <c r="BC280" s="740"/>
      <c r="BD280" s="740"/>
      <c r="BE280" s="740"/>
      <c r="BF280" s="740"/>
      <c r="BG280" s="740"/>
      <c r="BH280" s="740"/>
      <c r="BI280" s="740"/>
      <c r="BJ280" s="740"/>
      <c r="BK280" s="740"/>
      <c r="BL280" s="740"/>
      <c r="BM280" s="740"/>
      <c r="BN280" s="740"/>
      <c r="BO280" s="740"/>
      <c r="BP280" s="740"/>
      <c r="BQ280" s="740"/>
      <c r="BR280" s="740"/>
      <c r="BS280" s="740"/>
      <c r="BT280" s="740"/>
      <c r="BU280" s="740"/>
      <c r="BV280" s="740"/>
      <c r="BW280" s="740"/>
      <c r="BX280" s="740"/>
      <c r="BY280" s="740"/>
      <c r="BZ280" s="740"/>
      <c r="CA280" s="740"/>
      <c r="CB280" s="740"/>
      <c r="CC280" s="740"/>
      <c r="CD280" s="740"/>
      <c r="CE280" s="740"/>
      <c r="CF280" s="740"/>
      <c r="CG280" s="740"/>
      <c r="CH280" s="740"/>
      <c r="CI280" s="740"/>
      <c r="CJ280" s="740"/>
      <c r="CK280" s="740"/>
      <c r="CL280" s="740"/>
      <c r="CM280" s="740"/>
      <c r="CN280" s="740"/>
      <c r="CO280" s="740"/>
      <c r="CP280" s="740"/>
      <c r="CQ280" s="740"/>
      <c r="CR280" s="740"/>
      <c r="CS280" s="740"/>
      <c r="CT280" s="740"/>
      <c r="CU280" s="740"/>
      <c r="CV280" s="740"/>
      <c r="CW280" s="740"/>
      <c r="CX280" s="740"/>
      <c r="CY280" s="740"/>
      <c r="CZ280" s="740"/>
      <c r="DA280" s="740"/>
      <c r="DB280" s="740"/>
      <c r="DC280" s="740"/>
      <c r="DD280" s="740"/>
      <c r="DE280" s="740"/>
      <c r="DF280" s="740"/>
      <c r="DG280" s="740"/>
      <c r="DH280" s="740"/>
      <c r="DI280" s="740"/>
      <c r="DJ280" s="740"/>
      <c r="DK280" s="740"/>
      <c r="DL280" s="740"/>
      <c r="DM280" s="740"/>
      <c r="DN280" s="740"/>
      <c r="DO280" s="740"/>
      <c r="DP280" s="740"/>
      <c r="DQ280" s="740"/>
      <c r="DR280" s="740"/>
      <c r="DS280" s="740"/>
      <c r="DT280" s="740"/>
      <c r="DU280" s="740"/>
      <c r="DV280" s="740"/>
      <c r="DW280" s="740"/>
      <c r="DX280" s="740"/>
      <c r="DY280" s="740"/>
      <c r="DZ280" s="740"/>
      <c r="EA280" s="740"/>
      <c r="EB280" s="740"/>
      <c r="EC280" s="740"/>
      <c r="ED280" s="740"/>
      <c r="EE280" s="740"/>
      <c r="EF280" s="740"/>
      <c r="EG280" s="740"/>
      <c r="EH280" s="740"/>
      <c r="EI280" s="740"/>
      <c r="EJ280" s="740"/>
      <c r="EK280" s="740"/>
      <c r="EL280" s="740"/>
      <c r="EM280" s="740"/>
      <c r="EN280" s="740"/>
      <c r="EO280" s="740"/>
      <c r="EP280" s="740"/>
      <c r="EQ280" s="740"/>
      <c r="ER280" s="740"/>
      <c r="ES280" s="740"/>
      <c r="ET280" s="740"/>
      <c r="EU280" s="740"/>
      <c r="EV280" s="740"/>
      <c r="EW280" s="740"/>
      <c r="EX280" s="740"/>
      <c r="EY280" s="740"/>
      <c r="EZ280" s="740"/>
      <c r="FA280" s="740"/>
      <c r="FB280" s="740"/>
      <c r="FC280" s="740"/>
      <c r="FD280" s="740"/>
      <c r="FE280" s="740"/>
      <c r="FF280" s="740"/>
      <c r="FG280" s="740"/>
      <c r="FH280" s="740"/>
      <c r="FI280" s="740"/>
      <c r="FJ280" s="740"/>
      <c r="FK280" s="740"/>
      <c r="FL280" s="740"/>
      <c r="FM280" s="740"/>
      <c r="FN280" s="740"/>
      <c r="FO280" s="740"/>
      <c r="FP280" s="740"/>
      <c r="FQ280" s="740"/>
      <c r="FR280" s="740"/>
      <c r="FS280" s="740"/>
      <c r="FT280" s="740"/>
      <c r="FU280" s="740"/>
      <c r="FV280" s="740"/>
      <c r="FW280" s="740"/>
      <c r="FX280" s="740"/>
      <c r="FY280" s="740"/>
      <c r="FZ280" s="740"/>
      <c r="GA280" s="740"/>
      <c r="GB280" s="740"/>
      <c r="GC280" s="740"/>
      <c r="GD280" s="740"/>
      <c r="GE280" s="740"/>
      <c r="GF280" s="740"/>
      <c r="GG280" s="740"/>
      <c r="GH280" s="740"/>
      <c r="GI280" s="740"/>
      <c r="GJ280" s="740"/>
      <c r="GK280" s="740"/>
      <c r="GL280" s="740"/>
      <c r="GM280" s="740"/>
      <c r="GN280" s="740"/>
      <c r="GO280" s="740"/>
      <c r="GP280" s="740"/>
      <c r="GQ280" s="740"/>
      <c r="GR280" s="740"/>
      <c r="GS280" s="740"/>
      <c r="GT280" s="740"/>
      <c r="GU280" s="740"/>
      <c r="GV280" s="740"/>
      <c r="GW280" s="740"/>
    </row>
    <row r="281" spans="18:205" ht="24" customHeight="1" x14ac:dyDescent="0.2">
      <c r="R281" s="740"/>
      <c r="S281" s="740"/>
      <c r="T281" s="740"/>
      <c r="U281" s="740"/>
      <c r="V281" s="740"/>
      <c r="W281" s="740"/>
      <c r="X281" s="740"/>
      <c r="Y281" s="740"/>
      <c r="Z281" s="740"/>
      <c r="AA281" s="740"/>
      <c r="AB281" s="740"/>
      <c r="AC281" s="740"/>
      <c r="AD281" s="740"/>
      <c r="AE281" s="740"/>
      <c r="AF281" s="740"/>
      <c r="AG281" s="740"/>
      <c r="AH281" s="740"/>
      <c r="AI281" s="740"/>
      <c r="AJ281" s="740"/>
      <c r="AK281" s="740"/>
      <c r="AL281" s="740"/>
      <c r="AM281" s="740"/>
      <c r="AN281" s="740"/>
      <c r="AO281" s="740"/>
      <c r="AP281" s="740"/>
      <c r="AQ281" s="740"/>
      <c r="AR281" s="740"/>
      <c r="AS281" s="740"/>
      <c r="AT281" s="740"/>
      <c r="AU281" s="740"/>
      <c r="AV281" s="740"/>
      <c r="AW281" s="740"/>
      <c r="AX281" s="740"/>
      <c r="AY281" s="740"/>
      <c r="AZ281" s="740"/>
      <c r="BA281" s="740"/>
      <c r="BB281" s="740"/>
      <c r="BC281" s="740"/>
      <c r="BD281" s="740"/>
      <c r="BE281" s="740"/>
      <c r="BF281" s="740"/>
      <c r="BG281" s="740"/>
      <c r="BH281" s="740"/>
      <c r="BI281" s="740"/>
      <c r="BJ281" s="740"/>
      <c r="BK281" s="740"/>
      <c r="BL281" s="740"/>
      <c r="BM281" s="740"/>
      <c r="BN281" s="740"/>
      <c r="BO281" s="740"/>
      <c r="BP281" s="740"/>
      <c r="BQ281" s="740"/>
      <c r="BR281" s="740"/>
      <c r="BS281" s="740"/>
      <c r="BT281" s="740"/>
      <c r="BU281" s="740"/>
      <c r="BV281" s="740"/>
      <c r="BW281" s="740"/>
      <c r="BX281" s="740"/>
      <c r="BY281" s="740"/>
      <c r="BZ281" s="740"/>
      <c r="CA281" s="740"/>
      <c r="CB281" s="740"/>
      <c r="CC281" s="740"/>
      <c r="CD281" s="740"/>
      <c r="CE281" s="740"/>
      <c r="CF281" s="740"/>
      <c r="CG281" s="740"/>
      <c r="CH281" s="740"/>
      <c r="CI281" s="740"/>
      <c r="CJ281" s="740"/>
      <c r="CK281" s="740"/>
      <c r="CL281" s="740"/>
      <c r="CM281" s="740"/>
      <c r="CN281" s="740"/>
      <c r="CO281" s="740"/>
      <c r="CP281" s="740"/>
      <c r="CQ281" s="740"/>
      <c r="CR281" s="740"/>
      <c r="CS281" s="740"/>
      <c r="CT281" s="740"/>
      <c r="CU281" s="740"/>
      <c r="CV281" s="740"/>
      <c r="CW281" s="740"/>
      <c r="CX281" s="740"/>
      <c r="CY281" s="740"/>
      <c r="CZ281" s="740"/>
      <c r="DA281" s="740"/>
      <c r="DB281" s="740"/>
      <c r="DC281" s="740"/>
      <c r="DD281" s="740"/>
      <c r="DE281" s="740"/>
      <c r="DF281" s="740"/>
      <c r="DG281" s="740"/>
      <c r="DH281" s="740"/>
      <c r="DI281" s="740"/>
      <c r="DJ281" s="740"/>
      <c r="DK281" s="740"/>
      <c r="DL281" s="740"/>
      <c r="DM281" s="740"/>
      <c r="DN281" s="740"/>
      <c r="DO281" s="740"/>
      <c r="DP281" s="740"/>
      <c r="DQ281" s="740"/>
      <c r="DR281" s="740"/>
      <c r="DS281" s="740"/>
      <c r="DT281" s="740"/>
      <c r="DU281" s="740"/>
      <c r="DV281" s="740"/>
      <c r="DW281" s="740"/>
      <c r="DX281" s="740"/>
      <c r="DY281" s="740"/>
      <c r="DZ281" s="740"/>
      <c r="EA281" s="740"/>
      <c r="EB281" s="740"/>
      <c r="EC281" s="740"/>
      <c r="ED281" s="740"/>
      <c r="EE281" s="740"/>
      <c r="EF281" s="740"/>
      <c r="EG281" s="740"/>
      <c r="EH281" s="740"/>
      <c r="EI281" s="740"/>
      <c r="EJ281" s="740"/>
      <c r="EK281" s="740"/>
      <c r="EL281" s="740"/>
      <c r="EM281" s="740"/>
      <c r="EN281" s="740"/>
      <c r="EO281" s="740"/>
      <c r="EP281" s="740"/>
      <c r="EQ281" s="740"/>
      <c r="ER281" s="740"/>
      <c r="ES281" s="740"/>
      <c r="ET281" s="740"/>
      <c r="EU281" s="740"/>
      <c r="EV281" s="740"/>
      <c r="EW281" s="740"/>
      <c r="EX281" s="740"/>
      <c r="EY281" s="740"/>
      <c r="EZ281" s="740"/>
      <c r="FA281" s="740"/>
      <c r="FB281" s="740"/>
      <c r="FC281" s="740"/>
      <c r="FD281" s="740"/>
      <c r="FE281" s="740"/>
      <c r="FF281" s="740"/>
      <c r="FG281" s="740"/>
      <c r="FH281" s="740"/>
      <c r="FI281" s="740"/>
      <c r="FJ281" s="740"/>
      <c r="FK281" s="740"/>
      <c r="FL281" s="740"/>
      <c r="FM281" s="740"/>
      <c r="FN281" s="740"/>
      <c r="FO281" s="740"/>
      <c r="FP281" s="740"/>
      <c r="FQ281" s="740"/>
      <c r="FR281" s="740"/>
      <c r="FS281" s="740"/>
      <c r="FT281" s="740"/>
      <c r="FU281" s="740"/>
      <c r="FV281" s="740"/>
      <c r="FW281" s="740"/>
      <c r="FX281" s="740"/>
      <c r="FY281" s="740"/>
      <c r="FZ281" s="740"/>
      <c r="GA281" s="740"/>
      <c r="GB281" s="740"/>
      <c r="GC281" s="740"/>
      <c r="GD281" s="740"/>
      <c r="GE281" s="740"/>
      <c r="GF281" s="740"/>
      <c r="GG281" s="740"/>
      <c r="GH281" s="740"/>
      <c r="GI281" s="740"/>
      <c r="GJ281" s="740"/>
      <c r="GK281" s="740"/>
      <c r="GL281" s="740"/>
      <c r="GM281" s="740"/>
      <c r="GN281" s="740"/>
      <c r="GO281" s="740"/>
      <c r="GP281" s="740"/>
      <c r="GQ281" s="740"/>
      <c r="GR281" s="740"/>
      <c r="GS281" s="740"/>
      <c r="GT281" s="740"/>
      <c r="GU281" s="740"/>
      <c r="GV281" s="740"/>
      <c r="GW281" s="740"/>
    </row>
    <row r="282" spans="18:205" ht="24" customHeight="1" x14ac:dyDescent="0.2">
      <c r="R282" s="740"/>
      <c r="S282" s="740"/>
      <c r="T282" s="740"/>
      <c r="U282" s="740"/>
      <c r="V282" s="740"/>
      <c r="W282" s="740"/>
      <c r="X282" s="740"/>
      <c r="Y282" s="740"/>
      <c r="Z282" s="740"/>
      <c r="AA282" s="740"/>
      <c r="AB282" s="740"/>
      <c r="AC282" s="740"/>
      <c r="AD282" s="740"/>
      <c r="AE282" s="740"/>
      <c r="AF282" s="740"/>
      <c r="AG282" s="740"/>
      <c r="AH282" s="740"/>
      <c r="AI282" s="740"/>
      <c r="AJ282" s="740"/>
      <c r="AK282" s="740"/>
      <c r="AL282" s="740"/>
      <c r="AM282" s="740"/>
      <c r="AN282" s="740"/>
      <c r="AO282" s="740"/>
      <c r="AP282" s="740"/>
      <c r="AQ282" s="740"/>
      <c r="AR282" s="740"/>
      <c r="AS282" s="740"/>
      <c r="AT282" s="740"/>
      <c r="AU282" s="740"/>
      <c r="AV282" s="740"/>
      <c r="AW282" s="740"/>
      <c r="AX282" s="740"/>
      <c r="AY282" s="740"/>
      <c r="AZ282" s="740"/>
      <c r="BA282" s="740"/>
      <c r="BB282" s="740"/>
      <c r="BC282" s="740"/>
      <c r="BD282" s="740"/>
      <c r="BE282" s="740"/>
      <c r="BF282" s="740"/>
      <c r="BG282" s="740"/>
      <c r="BH282" s="740"/>
      <c r="BI282" s="740"/>
      <c r="BJ282" s="740"/>
      <c r="BK282" s="740"/>
      <c r="BL282" s="740"/>
      <c r="BM282" s="740"/>
      <c r="BN282" s="740"/>
      <c r="BO282" s="740"/>
      <c r="BP282" s="740"/>
      <c r="BQ282" s="740"/>
      <c r="BR282" s="740"/>
      <c r="BS282" s="740"/>
      <c r="BT282" s="740"/>
      <c r="BU282" s="740"/>
      <c r="BV282" s="740"/>
      <c r="BW282" s="740"/>
      <c r="BX282" s="740"/>
      <c r="BY282" s="740"/>
      <c r="BZ282" s="740"/>
      <c r="CA282" s="740"/>
      <c r="CB282" s="740"/>
      <c r="CC282" s="740"/>
      <c r="CD282" s="740"/>
      <c r="CE282" s="740"/>
      <c r="CF282" s="740"/>
      <c r="CG282" s="740"/>
      <c r="CH282" s="740"/>
      <c r="CI282" s="740"/>
      <c r="CJ282" s="740"/>
      <c r="CK282" s="740"/>
      <c r="CL282" s="740"/>
      <c r="CM282" s="740"/>
      <c r="CN282" s="740"/>
      <c r="CO282" s="740"/>
      <c r="CP282" s="740"/>
      <c r="CQ282" s="740"/>
      <c r="CR282" s="740"/>
      <c r="CS282" s="740"/>
      <c r="CT282" s="740"/>
      <c r="CU282" s="740"/>
      <c r="CV282" s="740"/>
      <c r="CW282" s="740"/>
      <c r="CX282" s="740"/>
      <c r="CY282" s="740"/>
      <c r="CZ282" s="740"/>
      <c r="DA282" s="740"/>
      <c r="DB282" s="740"/>
      <c r="DC282" s="740"/>
      <c r="DD282" s="740"/>
      <c r="DE282" s="740"/>
      <c r="DF282" s="740"/>
      <c r="DG282" s="740"/>
      <c r="DH282" s="740"/>
      <c r="DI282" s="740"/>
      <c r="DJ282" s="740"/>
      <c r="DK282" s="740"/>
      <c r="DL282" s="740"/>
      <c r="DM282" s="740"/>
      <c r="DN282" s="740"/>
      <c r="DO282" s="740"/>
      <c r="DP282" s="740"/>
      <c r="DQ282" s="740"/>
      <c r="DR282" s="740"/>
      <c r="DS282" s="740"/>
      <c r="DT282" s="740"/>
      <c r="DU282" s="740"/>
      <c r="DV282" s="740"/>
      <c r="DW282" s="740"/>
      <c r="DX282" s="740"/>
      <c r="DY282" s="740"/>
      <c r="DZ282" s="740"/>
      <c r="EA282" s="740"/>
      <c r="EB282" s="740"/>
      <c r="EC282" s="740"/>
      <c r="ED282" s="740"/>
      <c r="EE282" s="740"/>
      <c r="EF282" s="740"/>
      <c r="EG282" s="740"/>
      <c r="EH282" s="740"/>
      <c r="EI282" s="740"/>
      <c r="EJ282" s="740"/>
      <c r="EK282" s="740"/>
      <c r="EL282" s="740"/>
      <c r="EM282" s="740"/>
      <c r="EN282" s="740"/>
      <c r="EO282" s="740"/>
      <c r="EP282" s="740"/>
      <c r="EQ282" s="740"/>
      <c r="ER282" s="740"/>
      <c r="ES282" s="740"/>
      <c r="ET282" s="740"/>
      <c r="EU282" s="740"/>
      <c r="EV282" s="740"/>
      <c r="EW282" s="740"/>
      <c r="EX282" s="740"/>
      <c r="EY282" s="740"/>
      <c r="EZ282" s="740"/>
      <c r="FA282" s="740"/>
      <c r="FB282" s="740"/>
      <c r="FC282" s="740"/>
      <c r="FD282" s="740"/>
      <c r="FE282" s="740"/>
      <c r="FF282" s="740"/>
      <c r="FG282" s="740"/>
      <c r="FH282" s="740"/>
      <c r="FI282" s="740"/>
      <c r="FJ282" s="740"/>
      <c r="FK282" s="740"/>
      <c r="FL282" s="740"/>
      <c r="FM282" s="740"/>
      <c r="FN282" s="740"/>
      <c r="FO282" s="740"/>
      <c r="FP282" s="740"/>
      <c r="FQ282" s="740"/>
      <c r="FR282" s="740"/>
      <c r="FS282" s="740"/>
      <c r="FT282" s="740"/>
      <c r="FU282" s="740"/>
      <c r="FV282" s="740"/>
      <c r="FW282" s="740"/>
      <c r="FX282" s="740"/>
      <c r="FY282" s="740"/>
      <c r="FZ282" s="740"/>
      <c r="GA282" s="740"/>
      <c r="GB282" s="740"/>
      <c r="GC282" s="740"/>
      <c r="GD282" s="740"/>
      <c r="GE282" s="740"/>
      <c r="GF282" s="740"/>
      <c r="GG282" s="740"/>
      <c r="GH282" s="740"/>
      <c r="GI282" s="740"/>
      <c r="GJ282" s="740"/>
      <c r="GK282" s="740"/>
      <c r="GL282" s="740"/>
      <c r="GM282" s="740"/>
      <c r="GN282" s="740"/>
      <c r="GO282" s="740"/>
      <c r="GP282" s="740"/>
      <c r="GQ282" s="740"/>
      <c r="GR282" s="740"/>
      <c r="GS282" s="740"/>
      <c r="GT282" s="740"/>
      <c r="GU282" s="740"/>
      <c r="GV282" s="740"/>
      <c r="GW282" s="740"/>
    </row>
    <row r="283" spans="18:205" ht="24" customHeight="1" x14ac:dyDescent="0.2">
      <c r="R283" s="740"/>
      <c r="S283" s="740"/>
      <c r="T283" s="740"/>
      <c r="U283" s="740"/>
      <c r="V283" s="740"/>
      <c r="W283" s="740"/>
      <c r="X283" s="740"/>
      <c r="Y283" s="740"/>
      <c r="Z283" s="740"/>
      <c r="AA283" s="740"/>
      <c r="AB283" s="740"/>
      <c r="AC283" s="740"/>
      <c r="AD283" s="740"/>
      <c r="AE283" s="740"/>
      <c r="AF283" s="740"/>
      <c r="AG283" s="740"/>
      <c r="AH283" s="740"/>
      <c r="AI283" s="740"/>
      <c r="AJ283" s="740"/>
      <c r="AK283" s="740"/>
      <c r="AL283" s="740"/>
      <c r="AM283" s="740"/>
      <c r="AN283" s="740"/>
      <c r="AO283" s="740"/>
      <c r="AP283" s="740"/>
      <c r="AQ283" s="740"/>
      <c r="AR283" s="740"/>
      <c r="AS283" s="740"/>
      <c r="AT283" s="740"/>
      <c r="AU283" s="740"/>
      <c r="AV283" s="740"/>
      <c r="AW283" s="740"/>
      <c r="AX283" s="740"/>
      <c r="AY283" s="740"/>
      <c r="AZ283" s="740"/>
      <c r="BA283" s="740"/>
      <c r="BB283" s="740"/>
      <c r="BC283" s="740"/>
      <c r="BD283" s="740"/>
      <c r="BE283" s="740"/>
      <c r="BF283" s="740"/>
      <c r="BG283" s="740"/>
      <c r="BH283" s="740"/>
      <c r="BI283" s="740"/>
      <c r="BJ283" s="740"/>
      <c r="BK283" s="740"/>
      <c r="BL283" s="740"/>
      <c r="BM283" s="740"/>
      <c r="BN283" s="740"/>
      <c r="BO283" s="740"/>
      <c r="BP283" s="740"/>
      <c r="BQ283" s="740"/>
      <c r="BR283" s="740"/>
      <c r="BS283" s="740"/>
      <c r="BT283" s="740"/>
      <c r="BU283" s="740"/>
      <c r="BV283" s="740"/>
      <c r="BW283" s="740"/>
      <c r="BX283" s="740"/>
      <c r="BY283" s="740"/>
      <c r="BZ283" s="740"/>
      <c r="CA283" s="740"/>
      <c r="CB283" s="740"/>
      <c r="CC283" s="740"/>
      <c r="CD283" s="740"/>
      <c r="CE283" s="740"/>
      <c r="CF283" s="740"/>
      <c r="CG283" s="740"/>
      <c r="CH283" s="740"/>
      <c r="CI283" s="740"/>
      <c r="CJ283" s="740"/>
      <c r="CK283" s="740"/>
      <c r="CL283" s="740"/>
      <c r="CM283" s="740"/>
      <c r="CN283" s="740"/>
      <c r="CO283" s="740"/>
      <c r="CP283" s="740"/>
      <c r="CQ283" s="740"/>
      <c r="CR283" s="740"/>
      <c r="CS283" s="740"/>
      <c r="CT283" s="740"/>
      <c r="CU283" s="740"/>
      <c r="CV283" s="740"/>
      <c r="CW283" s="740"/>
      <c r="CX283" s="740"/>
      <c r="CY283" s="740"/>
      <c r="CZ283" s="740"/>
      <c r="DA283" s="740"/>
      <c r="DB283" s="740"/>
      <c r="DC283" s="740"/>
      <c r="DD283" s="740"/>
      <c r="DE283" s="740"/>
      <c r="DF283" s="740"/>
      <c r="DG283" s="740"/>
      <c r="DH283" s="740"/>
      <c r="DI283" s="740"/>
      <c r="DJ283" s="740"/>
      <c r="DK283" s="740"/>
      <c r="DL283" s="740"/>
      <c r="DM283" s="740"/>
      <c r="DN283" s="740"/>
      <c r="DO283" s="740"/>
      <c r="DP283" s="740"/>
      <c r="DQ283" s="740"/>
      <c r="DR283" s="740"/>
      <c r="DS283" s="740"/>
      <c r="DT283" s="740"/>
      <c r="DU283" s="740"/>
      <c r="DV283" s="740"/>
      <c r="DW283" s="740"/>
      <c r="DX283" s="740"/>
      <c r="DY283" s="740"/>
      <c r="DZ283" s="740"/>
      <c r="EA283" s="740"/>
      <c r="EB283" s="740"/>
      <c r="EC283" s="740"/>
      <c r="ED283" s="740"/>
      <c r="EE283" s="740"/>
      <c r="EF283" s="740"/>
      <c r="EG283" s="740"/>
      <c r="EH283" s="740"/>
      <c r="EI283" s="740"/>
      <c r="EJ283" s="740"/>
      <c r="EK283" s="740"/>
      <c r="EL283" s="740"/>
      <c r="EM283" s="740"/>
      <c r="EN283" s="740"/>
      <c r="EO283" s="740"/>
      <c r="EP283" s="740"/>
      <c r="EQ283" s="740"/>
      <c r="ER283" s="740"/>
      <c r="ES283" s="740"/>
      <c r="ET283" s="740"/>
      <c r="EU283" s="740"/>
      <c r="EV283" s="740"/>
      <c r="EW283" s="740"/>
      <c r="EX283" s="740"/>
      <c r="EY283" s="740"/>
      <c r="EZ283" s="740"/>
      <c r="FA283" s="740"/>
      <c r="FB283" s="740"/>
      <c r="FC283" s="740"/>
      <c r="FD283" s="740"/>
      <c r="FE283" s="740"/>
      <c r="FF283" s="740"/>
      <c r="FG283" s="740"/>
      <c r="FH283" s="740"/>
      <c r="FI283" s="740"/>
      <c r="FJ283" s="740"/>
      <c r="FK283" s="740"/>
      <c r="FL283" s="740"/>
      <c r="FM283" s="740"/>
      <c r="FN283" s="740"/>
      <c r="FO283" s="740"/>
      <c r="FP283" s="740"/>
      <c r="FQ283" s="740"/>
      <c r="FR283" s="740"/>
      <c r="FS283" s="740"/>
      <c r="FT283" s="740"/>
      <c r="FU283" s="740"/>
      <c r="FV283" s="740"/>
      <c r="FW283" s="740"/>
      <c r="FX283" s="740"/>
      <c r="FY283" s="740"/>
      <c r="FZ283" s="740"/>
      <c r="GA283" s="740"/>
      <c r="GB283" s="740"/>
      <c r="GC283" s="740"/>
      <c r="GD283" s="740"/>
      <c r="GE283" s="740"/>
      <c r="GF283" s="740"/>
      <c r="GG283" s="740"/>
      <c r="GH283" s="740"/>
      <c r="GI283" s="740"/>
      <c r="GJ283" s="740"/>
      <c r="GK283" s="740"/>
      <c r="GL283" s="740"/>
      <c r="GM283" s="740"/>
      <c r="GN283" s="740"/>
      <c r="GO283" s="740"/>
      <c r="GP283" s="740"/>
      <c r="GQ283" s="740"/>
      <c r="GR283" s="740"/>
      <c r="GS283" s="740"/>
      <c r="GT283" s="740"/>
      <c r="GU283" s="740"/>
      <c r="GV283" s="740"/>
      <c r="GW283" s="740"/>
    </row>
    <row r="284" spans="18:205" ht="24" customHeight="1" x14ac:dyDescent="0.2">
      <c r="R284" s="740"/>
      <c r="S284" s="740"/>
      <c r="T284" s="740"/>
      <c r="U284" s="740"/>
      <c r="V284" s="740"/>
      <c r="W284" s="740"/>
      <c r="X284" s="740"/>
      <c r="Y284" s="740"/>
      <c r="Z284" s="740"/>
      <c r="AA284" s="740"/>
      <c r="AB284" s="740"/>
      <c r="AC284" s="740"/>
      <c r="AD284" s="740"/>
      <c r="AE284" s="740"/>
      <c r="AF284" s="740"/>
      <c r="AG284" s="740"/>
      <c r="AH284" s="740"/>
      <c r="AI284" s="740"/>
      <c r="AJ284" s="740"/>
      <c r="AK284" s="740"/>
      <c r="AL284" s="740"/>
      <c r="AM284" s="740"/>
      <c r="AN284" s="740"/>
      <c r="AO284" s="740"/>
      <c r="AP284" s="740"/>
      <c r="AQ284" s="740"/>
      <c r="AR284" s="740"/>
      <c r="AS284" s="740"/>
      <c r="AT284" s="740"/>
      <c r="AU284" s="740"/>
      <c r="AV284" s="740"/>
      <c r="AW284" s="740"/>
      <c r="AX284" s="740"/>
      <c r="AY284" s="740"/>
      <c r="AZ284" s="740"/>
      <c r="BA284" s="740"/>
      <c r="BB284" s="740"/>
      <c r="BC284" s="740"/>
      <c r="BD284" s="740"/>
      <c r="BE284" s="740"/>
      <c r="BF284" s="740"/>
      <c r="BG284" s="740"/>
      <c r="BH284" s="740"/>
      <c r="BI284" s="740"/>
      <c r="BJ284" s="740"/>
      <c r="BK284" s="740"/>
      <c r="BL284" s="740"/>
      <c r="BM284" s="740"/>
      <c r="BN284" s="740"/>
      <c r="BO284" s="740"/>
      <c r="BP284" s="740"/>
      <c r="BQ284" s="740"/>
      <c r="BR284" s="740"/>
      <c r="BS284" s="740"/>
      <c r="BT284" s="740"/>
      <c r="BU284" s="740"/>
      <c r="BV284" s="740"/>
      <c r="BW284" s="740"/>
      <c r="BX284" s="740"/>
      <c r="BY284" s="740"/>
      <c r="BZ284" s="740"/>
      <c r="CA284" s="740"/>
      <c r="CB284" s="740"/>
      <c r="CC284" s="740"/>
      <c r="CD284" s="740"/>
      <c r="CE284" s="740"/>
      <c r="CF284" s="740"/>
      <c r="CG284" s="740"/>
      <c r="CH284" s="740"/>
      <c r="CI284" s="740"/>
      <c r="CJ284" s="740"/>
      <c r="CK284" s="740"/>
      <c r="CL284" s="740"/>
      <c r="CM284" s="740"/>
      <c r="CN284" s="740"/>
      <c r="CO284" s="740"/>
      <c r="CP284" s="740"/>
      <c r="CQ284" s="740"/>
      <c r="CR284" s="740"/>
      <c r="CS284" s="740"/>
      <c r="CT284" s="740"/>
      <c r="CU284" s="740"/>
      <c r="CV284" s="740"/>
      <c r="CW284" s="740"/>
      <c r="CX284" s="740"/>
      <c r="CY284" s="740"/>
      <c r="CZ284" s="740"/>
      <c r="DA284" s="740"/>
      <c r="DB284" s="740"/>
      <c r="DC284" s="740"/>
      <c r="DD284" s="740"/>
      <c r="DE284" s="740"/>
      <c r="DF284" s="740"/>
      <c r="DG284" s="740"/>
      <c r="DH284" s="740"/>
      <c r="DI284" s="740"/>
      <c r="DJ284" s="740"/>
      <c r="DK284" s="740"/>
      <c r="DL284" s="740"/>
      <c r="DM284" s="740"/>
      <c r="DN284" s="740"/>
      <c r="DO284" s="740"/>
      <c r="DP284" s="740"/>
      <c r="DQ284" s="740"/>
      <c r="DR284" s="740"/>
      <c r="DS284" s="740"/>
      <c r="DT284" s="740"/>
      <c r="DU284" s="740"/>
      <c r="DV284" s="740"/>
      <c r="DW284" s="740"/>
      <c r="DX284" s="740"/>
      <c r="DY284" s="740"/>
      <c r="DZ284" s="740"/>
      <c r="EA284" s="740"/>
      <c r="EB284" s="740"/>
      <c r="EC284" s="740"/>
      <c r="ED284" s="740"/>
      <c r="EE284" s="740"/>
      <c r="EF284" s="740"/>
      <c r="EG284" s="740"/>
      <c r="EH284" s="740"/>
      <c r="EI284" s="740"/>
      <c r="EJ284" s="740"/>
      <c r="EK284" s="740"/>
      <c r="EL284" s="740"/>
      <c r="EM284" s="740"/>
      <c r="EN284" s="740"/>
      <c r="EO284" s="740"/>
      <c r="EP284" s="740"/>
      <c r="EQ284" s="740"/>
      <c r="ER284" s="740"/>
      <c r="ES284" s="740"/>
      <c r="ET284" s="740"/>
      <c r="EU284" s="740"/>
      <c r="EV284" s="740"/>
      <c r="EW284" s="740"/>
      <c r="EX284" s="740"/>
      <c r="EY284" s="740"/>
      <c r="EZ284" s="740"/>
      <c r="FA284" s="740"/>
      <c r="FB284" s="740"/>
      <c r="FC284" s="740"/>
      <c r="FD284" s="740"/>
      <c r="FE284" s="740"/>
      <c r="FF284" s="740"/>
      <c r="FG284" s="740"/>
      <c r="FH284" s="740"/>
      <c r="FI284" s="740"/>
      <c r="FJ284" s="740"/>
      <c r="FK284" s="740"/>
      <c r="FL284" s="740"/>
      <c r="FM284" s="740"/>
      <c r="FN284" s="740"/>
      <c r="FO284" s="740"/>
      <c r="FP284" s="740"/>
      <c r="FQ284" s="740"/>
      <c r="FR284" s="740"/>
      <c r="FS284" s="740"/>
      <c r="FT284" s="740"/>
      <c r="FU284" s="740"/>
      <c r="FV284" s="740"/>
      <c r="FW284" s="740"/>
      <c r="FX284" s="740"/>
      <c r="FY284" s="740"/>
      <c r="FZ284" s="740"/>
      <c r="GA284" s="740"/>
      <c r="GB284" s="740"/>
      <c r="GC284" s="740"/>
      <c r="GD284" s="740"/>
      <c r="GE284" s="740"/>
      <c r="GF284" s="740"/>
      <c r="GG284" s="740"/>
      <c r="GH284" s="740"/>
      <c r="GI284" s="740"/>
      <c r="GJ284" s="740"/>
      <c r="GK284" s="740"/>
      <c r="GL284" s="740"/>
      <c r="GM284" s="740"/>
      <c r="GN284" s="740"/>
      <c r="GO284" s="740"/>
      <c r="GP284" s="740"/>
      <c r="GQ284" s="740"/>
      <c r="GR284" s="740"/>
      <c r="GS284" s="740"/>
      <c r="GT284" s="740"/>
      <c r="GU284" s="740"/>
      <c r="GV284" s="740"/>
      <c r="GW284" s="740"/>
    </row>
    <row r="285" spans="18:205" ht="24" customHeight="1" x14ac:dyDescent="0.2">
      <c r="R285" s="740"/>
      <c r="S285" s="740"/>
      <c r="T285" s="740"/>
      <c r="U285" s="740"/>
      <c r="V285" s="740"/>
      <c r="W285" s="740"/>
      <c r="X285" s="740"/>
      <c r="Y285" s="740"/>
      <c r="Z285" s="740"/>
      <c r="AA285" s="740"/>
      <c r="AB285" s="740"/>
      <c r="AC285" s="740"/>
      <c r="AD285" s="740"/>
      <c r="AE285" s="740"/>
      <c r="AF285" s="740"/>
      <c r="AG285" s="740"/>
      <c r="AH285" s="740"/>
      <c r="AI285" s="740"/>
      <c r="AJ285" s="740"/>
      <c r="AK285" s="740"/>
      <c r="AL285" s="740"/>
      <c r="AM285" s="740"/>
      <c r="AN285" s="740"/>
      <c r="AO285" s="740"/>
      <c r="AP285" s="740"/>
      <c r="AQ285" s="740"/>
      <c r="AR285" s="740"/>
      <c r="AS285" s="740"/>
      <c r="AT285" s="740"/>
      <c r="AU285" s="740"/>
      <c r="AV285" s="740"/>
      <c r="AW285" s="740"/>
      <c r="AX285" s="740"/>
      <c r="AY285" s="740"/>
      <c r="AZ285" s="740"/>
      <c r="BA285" s="740"/>
      <c r="BB285" s="740"/>
      <c r="BC285" s="740"/>
      <c r="BD285" s="740"/>
      <c r="BE285" s="740"/>
      <c r="BF285" s="740"/>
      <c r="BG285" s="740"/>
      <c r="BH285" s="740"/>
      <c r="BI285" s="740"/>
      <c r="BJ285" s="740"/>
      <c r="BK285" s="740"/>
      <c r="BL285" s="740"/>
      <c r="BM285" s="740"/>
      <c r="BN285" s="740"/>
      <c r="BO285" s="740"/>
      <c r="BP285" s="740"/>
      <c r="BQ285" s="740"/>
      <c r="BR285" s="740"/>
      <c r="BS285" s="740"/>
      <c r="BT285" s="740"/>
      <c r="BU285" s="740"/>
      <c r="BV285" s="740"/>
      <c r="BW285" s="740"/>
      <c r="BX285" s="740"/>
      <c r="BY285" s="740"/>
      <c r="BZ285" s="740"/>
      <c r="CA285" s="740"/>
      <c r="CB285" s="740"/>
      <c r="CC285" s="740"/>
      <c r="CD285" s="740"/>
      <c r="CE285" s="740"/>
      <c r="CF285" s="740"/>
      <c r="CG285" s="740"/>
      <c r="CH285" s="740"/>
      <c r="CI285" s="740"/>
      <c r="CJ285" s="740"/>
      <c r="CK285" s="740"/>
      <c r="CL285" s="740"/>
      <c r="CM285" s="740"/>
      <c r="CN285" s="740"/>
      <c r="CO285" s="740"/>
      <c r="CP285" s="740"/>
      <c r="CQ285" s="740"/>
      <c r="CR285" s="740"/>
      <c r="CS285" s="740"/>
      <c r="CT285" s="740"/>
      <c r="CU285" s="740"/>
      <c r="CV285" s="740"/>
      <c r="CW285" s="740"/>
      <c r="CX285" s="740"/>
      <c r="CY285" s="740"/>
      <c r="CZ285" s="740"/>
      <c r="DA285" s="740"/>
      <c r="DB285" s="740"/>
      <c r="DC285" s="740"/>
      <c r="DD285" s="740"/>
      <c r="DE285" s="740"/>
      <c r="DF285" s="740"/>
      <c r="DG285" s="740"/>
      <c r="DH285" s="740"/>
      <c r="DI285" s="740"/>
      <c r="DJ285" s="740"/>
      <c r="DK285" s="740"/>
      <c r="DL285" s="740"/>
      <c r="DM285" s="740"/>
      <c r="DN285" s="740"/>
      <c r="DO285" s="740"/>
      <c r="DP285" s="740"/>
      <c r="DQ285" s="740"/>
      <c r="DR285" s="740"/>
      <c r="DS285" s="740"/>
      <c r="DT285" s="740"/>
      <c r="DU285" s="740"/>
      <c r="DV285" s="740"/>
      <c r="DW285" s="740"/>
      <c r="DX285" s="740"/>
      <c r="DY285" s="740"/>
      <c r="DZ285" s="740"/>
      <c r="EA285" s="740"/>
      <c r="EB285" s="740"/>
      <c r="EC285" s="740"/>
      <c r="ED285" s="740"/>
      <c r="EE285" s="740"/>
      <c r="EF285" s="740"/>
      <c r="EG285" s="740"/>
      <c r="EH285" s="740"/>
      <c r="EI285" s="740"/>
      <c r="EJ285" s="740"/>
      <c r="EK285" s="740"/>
      <c r="EL285" s="740"/>
      <c r="EM285" s="740"/>
      <c r="EN285" s="740"/>
      <c r="EO285" s="740"/>
      <c r="EP285" s="740"/>
      <c r="EQ285" s="740"/>
      <c r="ER285" s="740"/>
      <c r="ES285" s="740"/>
      <c r="ET285" s="740"/>
      <c r="EU285" s="740"/>
      <c r="EV285" s="740"/>
      <c r="EW285" s="740"/>
      <c r="EX285" s="740"/>
      <c r="EY285" s="740"/>
      <c r="EZ285" s="740"/>
      <c r="FA285" s="740"/>
      <c r="FB285" s="740"/>
      <c r="FC285" s="740"/>
      <c r="FD285" s="740"/>
      <c r="FE285" s="740"/>
      <c r="FF285" s="740"/>
      <c r="FG285" s="740"/>
      <c r="FH285" s="740"/>
      <c r="FI285" s="740"/>
      <c r="FJ285" s="740"/>
      <c r="FK285" s="740"/>
      <c r="FL285" s="740"/>
      <c r="FM285" s="740"/>
      <c r="FN285" s="740"/>
      <c r="FO285" s="740"/>
      <c r="FP285" s="740"/>
      <c r="FQ285" s="740"/>
      <c r="FR285" s="740"/>
      <c r="FS285" s="740"/>
      <c r="FT285" s="740"/>
      <c r="FU285" s="740"/>
      <c r="FV285" s="740"/>
      <c r="FW285" s="740"/>
      <c r="FX285" s="740"/>
      <c r="FY285" s="740"/>
      <c r="FZ285" s="740"/>
      <c r="GA285" s="740"/>
      <c r="GB285" s="740"/>
      <c r="GC285" s="740"/>
      <c r="GD285" s="740"/>
      <c r="GE285" s="740"/>
      <c r="GF285" s="740"/>
      <c r="GG285" s="740"/>
      <c r="GH285" s="740"/>
      <c r="GI285" s="740"/>
      <c r="GJ285" s="740"/>
      <c r="GK285" s="740"/>
      <c r="GL285" s="740"/>
      <c r="GM285" s="740"/>
      <c r="GN285" s="740"/>
      <c r="GO285" s="740"/>
      <c r="GP285" s="740"/>
      <c r="GQ285" s="740"/>
      <c r="GR285" s="740"/>
      <c r="GS285" s="740"/>
      <c r="GT285" s="740"/>
      <c r="GU285" s="740"/>
      <c r="GV285" s="740"/>
      <c r="GW285" s="740"/>
    </row>
    <row r="286" spans="18:205" ht="24" customHeight="1" x14ac:dyDescent="0.2">
      <c r="R286" s="740"/>
      <c r="S286" s="740"/>
      <c r="T286" s="740"/>
      <c r="U286" s="740"/>
      <c r="V286" s="740"/>
      <c r="W286" s="740"/>
      <c r="X286" s="740"/>
      <c r="Y286" s="740"/>
      <c r="Z286" s="740"/>
      <c r="AA286" s="740"/>
      <c r="AB286" s="740"/>
      <c r="AC286" s="740"/>
      <c r="AD286" s="740"/>
      <c r="AE286" s="740"/>
      <c r="AF286" s="740"/>
      <c r="AG286" s="740"/>
      <c r="AH286" s="740"/>
      <c r="AI286" s="740"/>
      <c r="AJ286" s="740"/>
      <c r="AK286" s="740"/>
      <c r="AL286" s="740"/>
      <c r="AM286" s="740"/>
      <c r="AN286" s="740"/>
      <c r="AO286" s="740"/>
      <c r="AP286" s="740"/>
      <c r="AQ286" s="740"/>
      <c r="AR286" s="740"/>
      <c r="AS286" s="740"/>
      <c r="AT286" s="740"/>
      <c r="AU286" s="740"/>
      <c r="AV286" s="740"/>
      <c r="AW286" s="740"/>
      <c r="AX286" s="740"/>
      <c r="AY286" s="740"/>
      <c r="AZ286" s="740"/>
      <c r="BA286" s="740"/>
      <c r="BB286" s="740"/>
      <c r="BC286" s="740"/>
      <c r="BD286" s="740"/>
      <c r="BE286" s="740"/>
      <c r="BF286" s="740"/>
      <c r="BG286" s="740"/>
      <c r="BH286" s="740"/>
      <c r="BI286" s="740"/>
      <c r="BJ286" s="740"/>
      <c r="BK286" s="740"/>
      <c r="BL286" s="740"/>
      <c r="BM286" s="740"/>
      <c r="BN286" s="740"/>
      <c r="BO286" s="740"/>
      <c r="BP286" s="740"/>
      <c r="BQ286" s="740"/>
      <c r="BR286" s="740"/>
      <c r="BS286" s="740"/>
      <c r="BT286" s="740"/>
      <c r="BU286" s="740"/>
      <c r="BV286" s="740"/>
      <c r="BW286" s="740"/>
      <c r="BX286" s="740"/>
      <c r="BY286" s="740"/>
      <c r="BZ286" s="740"/>
      <c r="CA286" s="740"/>
      <c r="CB286" s="740"/>
      <c r="CC286" s="740"/>
      <c r="CD286" s="740"/>
      <c r="CE286" s="740"/>
      <c r="CF286" s="740"/>
      <c r="CG286" s="740"/>
      <c r="CH286" s="740"/>
      <c r="CI286" s="740"/>
      <c r="CJ286" s="740"/>
      <c r="CK286" s="740"/>
      <c r="CL286" s="740"/>
      <c r="CM286" s="740"/>
      <c r="CN286" s="740"/>
      <c r="CO286" s="740"/>
      <c r="CP286" s="740"/>
      <c r="CQ286" s="740"/>
      <c r="CR286" s="740"/>
      <c r="CS286" s="740"/>
      <c r="CT286" s="740"/>
      <c r="CU286" s="740"/>
      <c r="CV286" s="740"/>
      <c r="CW286" s="740"/>
      <c r="CX286" s="740"/>
      <c r="CY286" s="740"/>
      <c r="CZ286" s="740"/>
      <c r="DA286" s="740"/>
      <c r="DB286" s="740"/>
      <c r="DC286" s="740"/>
      <c r="DD286" s="740"/>
      <c r="DE286" s="740"/>
      <c r="DF286" s="740"/>
      <c r="DG286" s="740"/>
      <c r="DH286" s="740"/>
      <c r="DI286" s="740"/>
      <c r="DJ286" s="740"/>
      <c r="DK286" s="740"/>
      <c r="DL286" s="740"/>
      <c r="DM286" s="740"/>
      <c r="DN286" s="740"/>
      <c r="DO286" s="740"/>
      <c r="DP286" s="740"/>
      <c r="DQ286" s="740"/>
      <c r="DR286" s="740"/>
      <c r="DS286" s="740"/>
      <c r="DT286" s="740"/>
      <c r="DU286" s="740"/>
      <c r="DV286" s="740"/>
      <c r="DW286" s="740"/>
      <c r="DX286" s="740"/>
      <c r="DY286" s="740"/>
      <c r="DZ286" s="740"/>
      <c r="EA286" s="740"/>
      <c r="EB286" s="740"/>
      <c r="EC286" s="740"/>
      <c r="ED286" s="740"/>
      <c r="EE286" s="740"/>
      <c r="EF286" s="740"/>
      <c r="EG286" s="740"/>
      <c r="EH286" s="740"/>
      <c r="EI286" s="740"/>
      <c r="EJ286" s="740"/>
      <c r="EK286" s="740"/>
      <c r="EL286" s="740"/>
      <c r="EM286" s="740"/>
      <c r="EN286" s="740"/>
      <c r="EO286" s="740"/>
      <c r="EP286" s="740"/>
      <c r="EQ286" s="740"/>
      <c r="ER286" s="740"/>
      <c r="ES286" s="740"/>
      <c r="ET286" s="740"/>
      <c r="EU286" s="740"/>
      <c r="EV286" s="740"/>
      <c r="EW286" s="740"/>
      <c r="EX286" s="740"/>
      <c r="EY286" s="740"/>
      <c r="EZ286" s="740"/>
      <c r="FA286" s="740"/>
      <c r="FB286" s="740"/>
      <c r="FC286" s="740"/>
      <c r="FD286" s="740"/>
      <c r="FE286" s="740"/>
      <c r="FF286" s="740"/>
      <c r="FG286" s="740"/>
      <c r="FH286" s="740"/>
      <c r="FI286" s="740"/>
      <c r="FJ286" s="740"/>
      <c r="FK286" s="740"/>
      <c r="FL286" s="740"/>
      <c r="FM286" s="740"/>
      <c r="FN286" s="740"/>
      <c r="FO286" s="740"/>
      <c r="FP286" s="740"/>
      <c r="FQ286" s="740"/>
      <c r="FR286" s="740"/>
      <c r="FS286" s="740"/>
      <c r="FT286" s="740"/>
      <c r="FU286" s="740"/>
      <c r="FV286" s="740"/>
      <c r="FW286" s="740"/>
      <c r="FX286" s="740"/>
      <c r="FY286" s="740"/>
      <c r="FZ286" s="740"/>
      <c r="GA286" s="740"/>
      <c r="GB286" s="740"/>
      <c r="GC286" s="740"/>
      <c r="GD286" s="740"/>
      <c r="GE286" s="740"/>
      <c r="GF286" s="740"/>
      <c r="GG286" s="740"/>
      <c r="GH286" s="740"/>
      <c r="GI286" s="740"/>
      <c r="GJ286" s="740"/>
      <c r="GK286" s="740"/>
      <c r="GL286" s="740"/>
      <c r="GM286" s="740"/>
      <c r="GN286" s="740"/>
      <c r="GO286" s="740"/>
      <c r="GP286" s="740"/>
      <c r="GQ286" s="740"/>
      <c r="GR286" s="740"/>
      <c r="GS286" s="740"/>
      <c r="GT286" s="740"/>
      <c r="GU286" s="740"/>
      <c r="GV286" s="740"/>
      <c r="GW286" s="740"/>
    </row>
    <row r="287" spans="18:205" ht="24" customHeight="1" x14ac:dyDescent="0.2">
      <c r="R287" s="740"/>
      <c r="S287" s="740"/>
      <c r="T287" s="740"/>
      <c r="U287" s="740"/>
      <c r="V287" s="740"/>
      <c r="W287" s="740"/>
      <c r="X287" s="740"/>
      <c r="Y287" s="740"/>
      <c r="Z287" s="740"/>
      <c r="AA287" s="740"/>
      <c r="AB287" s="740"/>
      <c r="AC287" s="740"/>
      <c r="AD287" s="740"/>
      <c r="AE287" s="740"/>
      <c r="AF287" s="740"/>
      <c r="AG287" s="740"/>
      <c r="AH287" s="740"/>
      <c r="AI287" s="740"/>
      <c r="AJ287" s="740"/>
      <c r="AK287" s="740"/>
      <c r="AL287" s="740"/>
      <c r="AM287" s="740"/>
      <c r="AN287" s="740"/>
      <c r="AO287" s="740"/>
      <c r="AP287" s="740"/>
      <c r="AQ287" s="740"/>
      <c r="AR287" s="740"/>
      <c r="AS287" s="740"/>
      <c r="AT287" s="740"/>
      <c r="AU287" s="740"/>
      <c r="AV287" s="740"/>
      <c r="AW287" s="740"/>
      <c r="AX287" s="740"/>
      <c r="AY287" s="740"/>
      <c r="AZ287" s="740"/>
      <c r="BA287" s="740"/>
      <c r="BB287" s="740"/>
      <c r="BC287" s="740"/>
      <c r="BD287" s="740"/>
      <c r="BE287" s="740"/>
      <c r="BF287" s="740"/>
      <c r="BG287" s="740"/>
      <c r="BH287" s="740"/>
      <c r="BI287" s="740"/>
      <c r="BJ287" s="740"/>
      <c r="BK287" s="740"/>
      <c r="BL287" s="740"/>
      <c r="BM287" s="740"/>
      <c r="BN287" s="740"/>
      <c r="BO287" s="740"/>
      <c r="BP287" s="740"/>
      <c r="BQ287" s="740"/>
      <c r="BR287" s="740"/>
      <c r="BS287" s="740"/>
      <c r="BT287" s="740"/>
      <c r="BU287" s="740"/>
      <c r="BV287" s="740"/>
      <c r="BW287" s="740"/>
      <c r="BX287" s="740"/>
      <c r="BY287" s="740"/>
      <c r="BZ287" s="740"/>
      <c r="CA287" s="740"/>
      <c r="CB287" s="740"/>
      <c r="CC287" s="740"/>
      <c r="CD287" s="740"/>
      <c r="CE287" s="740"/>
      <c r="CF287" s="740"/>
      <c r="CG287" s="740"/>
      <c r="CH287" s="740"/>
      <c r="CI287" s="740"/>
      <c r="CJ287" s="740"/>
      <c r="CK287" s="740"/>
      <c r="CL287" s="740"/>
      <c r="CM287" s="740"/>
      <c r="CN287" s="740"/>
      <c r="CO287" s="740"/>
      <c r="CP287" s="740"/>
      <c r="CQ287" s="740"/>
      <c r="CR287" s="740"/>
      <c r="CS287" s="740"/>
      <c r="CT287" s="740"/>
      <c r="CU287" s="740"/>
      <c r="CV287" s="740"/>
      <c r="CW287" s="740"/>
      <c r="CX287" s="740"/>
      <c r="CY287" s="740"/>
      <c r="CZ287" s="740"/>
      <c r="DA287" s="740"/>
      <c r="DB287" s="740"/>
      <c r="DC287" s="740"/>
      <c r="DD287" s="740"/>
      <c r="DE287" s="740"/>
      <c r="DF287" s="740"/>
      <c r="DG287" s="740"/>
      <c r="DH287" s="740"/>
      <c r="DI287" s="740"/>
      <c r="DJ287" s="740"/>
      <c r="DK287" s="740"/>
      <c r="DL287" s="740"/>
      <c r="DM287" s="740"/>
      <c r="DN287" s="740"/>
      <c r="DO287" s="740"/>
      <c r="DP287" s="740"/>
      <c r="DQ287" s="740"/>
      <c r="DR287" s="740"/>
      <c r="DS287" s="740"/>
      <c r="DT287" s="740"/>
      <c r="DU287" s="740"/>
      <c r="DV287" s="740"/>
      <c r="DW287" s="740"/>
      <c r="DX287" s="740"/>
      <c r="DY287" s="740"/>
      <c r="DZ287" s="740"/>
      <c r="EA287" s="740"/>
      <c r="EB287" s="740"/>
      <c r="EC287" s="740"/>
      <c r="ED287" s="740"/>
      <c r="EE287" s="740"/>
      <c r="EF287" s="740"/>
      <c r="EG287" s="740"/>
      <c r="EH287" s="740"/>
      <c r="EI287" s="740"/>
      <c r="EJ287" s="740"/>
      <c r="EK287" s="740"/>
      <c r="EL287" s="740"/>
      <c r="EM287" s="740"/>
      <c r="EN287" s="740"/>
      <c r="EO287" s="740"/>
      <c r="EP287" s="740"/>
      <c r="EQ287" s="740"/>
      <c r="ER287" s="740"/>
      <c r="ES287" s="740"/>
      <c r="ET287" s="740"/>
      <c r="EU287" s="740"/>
      <c r="EV287" s="740"/>
      <c r="EW287" s="740"/>
      <c r="EX287" s="740"/>
      <c r="EY287" s="740"/>
      <c r="EZ287" s="740"/>
      <c r="FA287" s="740"/>
      <c r="FB287" s="740"/>
      <c r="FC287" s="740"/>
      <c r="FD287" s="740"/>
      <c r="FE287" s="740"/>
      <c r="FF287" s="740"/>
      <c r="FG287" s="740"/>
      <c r="FH287" s="740"/>
      <c r="FI287" s="740"/>
      <c r="FJ287" s="740"/>
      <c r="FK287" s="740"/>
      <c r="FL287" s="740"/>
      <c r="FM287" s="740"/>
      <c r="FN287" s="740"/>
      <c r="FO287" s="740"/>
      <c r="FP287" s="740"/>
      <c r="FQ287" s="740"/>
      <c r="FR287" s="740"/>
      <c r="FS287" s="740"/>
      <c r="FT287" s="740"/>
      <c r="FU287" s="740"/>
      <c r="FV287" s="740"/>
      <c r="FW287" s="740"/>
      <c r="FX287" s="740"/>
      <c r="FY287" s="740"/>
      <c r="FZ287" s="740"/>
      <c r="GA287" s="740"/>
      <c r="GB287" s="740"/>
      <c r="GC287" s="740"/>
      <c r="GD287" s="740"/>
      <c r="GE287" s="740"/>
      <c r="GF287" s="740"/>
      <c r="GG287" s="740"/>
      <c r="GH287" s="740"/>
      <c r="GI287" s="740"/>
      <c r="GJ287" s="740"/>
      <c r="GK287" s="740"/>
      <c r="GL287" s="740"/>
      <c r="GM287" s="740"/>
      <c r="GN287" s="740"/>
      <c r="GO287" s="740"/>
      <c r="GP287" s="740"/>
      <c r="GQ287" s="740"/>
      <c r="GR287" s="740"/>
      <c r="GS287" s="740"/>
      <c r="GT287" s="740"/>
      <c r="GU287" s="740"/>
      <c r="GV287" s="740"/>
      <c r="GW287" s="740"/>
    </row>
    <row r="288" spans="18:205" ht="24" customHeight="1" x14ac:dyDescent="0.2">
      <c r="R288" s="740"/>
      <c r="S288" s="740"/>
      <c r="T288" s="740"/>
      <c r="U288" s="740"/>
      <c r="V288" s="740"/>
      <c r="W288" s="740"/>
      <c r="X288" s="740"/>
      <c r="Y288" s="740"/>
      <c r="Z288" s="740"/>
      <c r="AA288" s="740"/>
      <c r="AB288" s="740"/>
      <c r="AC288" s="740"/>
      <c r="AD288" s="740"/>
      <c r="AE288" s="740"/>
      <c r="AF288" s="740"/>
      <c r="AG288" s="740"/>
      <c r="AH288" s="740"/>
      <c r="AI288" s="740"/>
      <c r="AJ288" s="740"/>
      <c r="AK288" s="740"/>
      <c r="AL288" s="740"/>
      <c r="AM288" s="740"/>
      <c r="AN288" s="740"/>
      <c r="AO288" s="740"/>
      <c r="AP288" s="740"/>
      <c r="AQ288" s="740"/>
      <c r="AR288" s="740"/>
      <c r="AS288" s="740"/>
      <c r="AT288" s="740"/>
      <c r="AU288" s="740"/>
      <c r="AV288" s="740"/>
      <c r="AW288" s="740"/>
      <c r="AX288" s="740"/>
      <c r="AY288" s="740"/>
      <c r="AZ288" s="740"/>
      <c r="BA288" s="740"/>
      <c r="BB288" s="740"/>
      <c r="BC288" s="740"/>
      <c r="BD288" s="740"/>
      <c r="BE288" s="740"/>
      <c r="BF288" s="740"/>
      <c r="BG288" s="740"/>
      <c r="BH288" s="740"/>
      <c r="BI288" s="740"/>
      <c r="BJ288" s="740"/>
      <c r="BK288" s="740"/>
      <c r="BL288" s="740"/>
      <c r="BM288" s="740"/>
      <c r="BN288" s="740"/>
      <c r="BO288" s="740"/>
      <c r="BP288" s="740"/>
      <c r="BQ288" s="740"/>
      <c r="BR288" s="740"/>
      <c r="BS288" s="740"/>
      <c r="BT288" s="740"/>
      <c r="BU288" s="740"/>
      <c r="BV288" s="740"/>
      <c r="BW288" s="740"/>
      <c r="BX288" s="740"/>
      <c r="BY288" s="740"/>
      <c r="BZ288" s="740"/>
      <c r="CA288" s="740"/>
      <c r="CB288" s="740"/>
      <c r="CC288" s="740"/>
      <c r="CD288" s="740"/>
      <c r="CE288" s="740"/>
      <c r="CF288" s="740"/>
      <c r="CG288" s="740"/>
      <c r="CH288" s="740"/>
      <c r="CI288" s="740"/>
      <c r="CJ288" s="740"/>
      <c r="CK288" s="740"/>
      <c r="CL288" s="740"/>
      <c r="CM288" s="740"/>
      <c r="CN288" s="740"/>
      <c r="CO288" s="740"/>
      <c r="CP288" s="740"/>
      <c r="CQ288" s="740"/>
      <c r="CR288" s="740"/>
      <c r="CS288" s="740"/>
      <c r="CT288" s="740"/>
      <c r="CU288" s="740"/>
      <c r="CV288" s="740"/>
      <c r="CW288" s="740"/>
      <c r="CX288" s="740"/>
      <c r="CY288" s="740"/>
      <c r="CZ288" s="740"/>
      <c r="DA288" s="740"/>
      <c r="DB288" s="740"/>
      <c r="DC288" s="740"/>
      <c r="DD288" s="740"/>
      <c r="DE288" s="740"/>
      <c r="DF288" s="740"/>
      <c r="DG288" s="740"/>
      <c r="DH288" s="740"/>
      <c r="DI288" s="740"/>
      <c r="DJ288" s="740"/>
      <c r="DK288" s="740"/>
      <c r="DL288" s="740"/>
      <c r="DM288" s="740"/>
      <c r="DN288" s="740"/>
      <c r="DO288" s="740"/>
      <c r="DP288" s="740"/>
      <c r="DQ288" s="740"/>
      <c r="DR288" s="740"/>
      <c r="DS288" s="740"/>
      <c r="DT288" s="740"/>
      <c r="DU288" s="740"/>
      <c r="DV288" s="740"/>
      <c r="DW288" s="740"/>
      <c r="DX288" s="740"/>
      <c r="DY288" s="740"/>
      <c r="DZ288" s="740"/>
      <c r="EA288" s="740"/>
      <c r="EB288" s="740"/>
      <c r="EC288" s="740"/>
      <c r="ED288" s="740"/>
      <c r="EE288" s="740"/>
      <c r="EF288" s="740"/>
      <c r="EG288" s="740"/>
      <c r="EH288" s="740"/>
      <c r="EI288" s="740"/>
      <c r="EJ288" s="740"/>
      <c r="EK288" s="740"/>
      <c r="EL288" s="740"/>
      <c r="EM288" s="740"/>
      <c r="EN288" s="740"/>
      <c r="EO288" s="740"/>
      <c r="EP288" s="740"/>
      <c r="EQ288" s="740"/>
      <c r="ER288" s="740"/>
      <c r="ES288" s="740"/>
      <c r="ET288" s="740"/>
      <c r="EU288" s="740"/>
      <c r="EV288" s="740"/>
      <c r="EW288" s="740"/>
      <c r="EX288" s="740"/>
      <c r="EY288" s="740"/>
      <c r="EZ288" s="740"/>
      <c r="FA288" s="740"/>
      <c r="FB288" s="740"/>
      <c r="FC288" s="740"/>
      <c r="FD288" s="740"/>
      <c r="FE288" s="740"/>
      <c r="FF288" s="740"/>
      <c r="FG288" s="740"/>
      <c r="FH288" s="740"/>
      <c r="FI288" s="740"/>
      <c r="FJ288" s="740"/>
      <c r="FK288" s="740"/>
      <c r="FL288" s="740"/>
      <c r="FM288" s="740"/>
      <c r="FN288" s="740"/>
      <c r="FO288" s="740"/>
      <c r="FP288" s="740"/>
      <c r="FQ288" s="740"/>
      <c r="FR288" s="740"/>
      <c r="FS288" s="740"/>
      <c r="FT288" s="740"/>
      <c r="FU288" s="740"/>
      <c r="FV288" s="740"/>
      <c r="FW288" s="740"/>
      <c r="FX288" s="740"/>
      <c r="FY288" s="740"/>
      <c r="FZ288" s="740"/>
      <c r="GA288" s="740"/>
      <c r="GB288" s="740"/>
      <c r="GC288" s="740"/>
      <c r="GD288" s="740"/>
      <c r="GE288" s="740"/>
      <c r="GF288" s="740"/>
      <c r="GG288" s="740"/>
      <c r="GH288" s="740"/>
      <c r="GI288" s="740"/>
      <c r="GJ288" s="740"/>
      <c r="GK288" s="740"/>
      <c r="GL288" s="740"/>
      <c r="GM288" s="740"/>
      <c r="GN288" s="740"/>
      <c r="GO288" s="740"/>
      <c r="GP288" s="740"/>
      <c r="GQ288" s="740"/>
      <c r="GR288" s="740"/>
      <c r="GS288" s="740"/>
      <c r="GT288" s="740"/>
      <c r="GU288" s="740"/>
      <c r="GV288" s="740"/>
      <c r="GW288" s="740"/>
    </row>
    <row r="289" spans="18:205" ht="24" customHeight="1" x14ac:dyDescent="0.2">
      <c r="R289" s="740"/>
      <c r="S289" s="740"/>
      <c r="T289" s="740"/>
      <c r="U289" s="740"/>
      <c r="V289" s="740"/>
      <c r="W289" s="740"/>
      <c r="X289" s="740"/>
      <c r="Y289" s="740"/>
      <c r="Z289" s="740"/>
      <c r="AA289" s="740"/>
      <c r="AB289" s="740"/>
      <c r="AC289" s="740"/>
      <c r="AD289" s="740"/>
      <c r="AE289" s="740"/>
      <c r="AF289" s="740"/>
      <c r="AG289" s="740"/>
      <c r="AH289" s="740"/>
      <c r="AI289" s="740"/>
      <c r="AJ289" s="740"/>
      <c r="AK289" s="740"/>
      <c r="AL289" s="740"/>
      <c r="AM289" s="740"/>
      <c r="AN289" s="740"/>
      <c r="AO289" s="740"/>
      <c r="AP289" s="740"/>
      <c r="AQ289" s="740"/>
      <c r="AR289" s="740"/>
      <c r="AS289" s="740"/>
      <c r="AT289" s="740"/>
      <c r="AU289" s="740"/>
      <c r="AV289" s="740"/>
      <c r="AW289" s="740"/>
      <c r="AX289" s="740"/>
      <c r="AY289" s="740"/>
      <c r="AZ289" s="740"/>
      <c r="BA289" s="740"/>
      <c r="BB289" s="740"/>
      <c r="BC289" s="740"/>
      <c r="BD289" s="740"/>
      <c r="BE289" s="740"/>
      <c r="BF289" s="740"/>
      <c r="BG289" s="740"/>
      <c r="BH289" s="740"/>
      <c r="BI289" s="740"/>
      <c r="BJ289" s="740"/>
      <c r="BK289" s="740"/>
      <c r="BL289" s="740"/>
      <c r="BM289" s="740"/>
      <c r="BN289" s="740"/>
      <c r="BO289" s="740"/>
      <c r="BP289" s="740"/>
      <c r="BQ289" s="740"/>
      <c r="BR289" s="740"/>
      <c r="BS289" s="740"/>
      <c r="BT289" s="740"/>
      <c r="BU289" s="740"/>
      <c r="BV289" s="740"/>
      <c r="BW289" s="740"/>
      <c r="BX289" s="740"/>
      <c r="BY289" s="740"/>
      <c r="BZ289" s="740"/>
      <c r="CA289" s="740"/>
      <c r="CB289" s="740"/>
      <c r="CC289" s="740"/>
      <c r="CD289" s="740"/>
      <c r="CE289" s="740"/>
      <c r="CF289" s="740"/>
      <c r="CG289" s="740"/>
      <c r="CH289" s="740"/>
      <c r="CI289" s="740"/>
      <c r="CJ289" s="740"/>
      <c r="CK289" s="740"/>
      <c r="CL289" s="740"/>
      <c r="CM289" s="740"/>
      <c r="CN289" s="740"/>
      <c r="CO289" s="740"/>
      <c r="CP289" s="740"/>
      <c r="CQ289" s="740"/>
      <c r="CR289" s="740"/>
      <c r="CS289" s="740"/>
      <c r="CT289" s="740"/>
      <c r="CU289" s="740"/>
      <c r="CV289" s="740"/>
      <c r="CW289" s="740"/>
      <c r="CX289" s="740"/>
      <c r="CY289" s="740"/>
      <c r="CZ289" s="740"/>
      <c r="DA289" s="740"/>
      <c r="DB289" s="740"/>
      <c r="DC289" s="740"/>
      <c r="DD289" s="740"/>
      <c r="DE289" s="740"/>
      <c r="DF289" s="740"/>
      <c r="DG289" s="740"/>
      <c r="DH289" s="740"/>
      <c r="DI289" s="740"/>
      <c r="DJ289" s="740"/>
      <c r="DK289" s="740"/>
      <c r="DL289" s="740"/>
      <c r="DM289" s="740"/>
      <c r="DN289" s="740"/>
      <c r="DO289" s="740"/>
      <c r="DP289" s="740"/>
      <c r="DQ289" s="740"/>
      <c r="DR289" s="740"/>
      <c r="DS289" s="740"/>
      <c r="DT289" s="740"/>
      <c r="DU289" s="740"/>
      <c r="DV289" s="740"/>
      <c r="DW289" s="740"/>
      <c r="DX289" s="740"/>
      <c r="DY289" s="740"/>
      <c r="DZ289" s="740"/>
      <c r="EA289" s="740"/>
      <c r="EB289" s="740"/>
      <c r="EC289" s="740"/>
      <c r="ED289" s="740"/>
      <c r="EE289" s="740"/>
      <c r="EF289" s="740"/>
      <c r="EG289" s="740"/>
      <c r="EH289" s="740"/>
      <c r="EI289" s="740"/>
      <c r="EJ289" s="740"/>
      <c r="EK289" s="740"/>
      <c r="EL289" s="740"/>
      <c r="EM289" s="740"/>
      <c r="EN289" s="740"/>
      <c r="EO289" s="740"/>
      <c r="EP289" s="740"/>
      <c r="EQ289" s="740"/>
      <c r="ER289" s="740"/>
      <c r="ES289" s="740"/>
      <c r="ET289" s="740"/>
      <c r="EU289" s="740"/>
      <c r="EV289" s="740"/>
      <c r="EW289" s="740"/>
      <c r="EX289" s="740"/>
      <c r="EY289" s="740"/>
      <c r="EZ289" s="740"/>
      <c r="FA289" s="740"/>
      <c r="FB289" s="740"/>
      <c r="FC289" s="740"/>
      <c r="FD289" s="740"/>
      <c r="FE289" s="740"/>
      <c r="FF289" s="740"/>
      <c r="FG289" s="740"/>
      <c r="FH289" s="740"/>
      <c r="FI289" s="740"/>
      <c r="FJ289" s="740"/>
      <c r="FK289" s="740"/>
      <c r="FL289" s="740"/>
      <c r="FM289" s="740"/>
      <c r="FN289" s="740"/>
      <c r="FO289" s="740"/>
      <c r="FP289" s="740"/>
      <c r="FQ289" s="740"/>
      <c r="FR289" s="740"/>
      <c r="FS289" s="740"/>
      <c r="FT289" s="740"/>
      <c r="FU289" s="740"/>
      <c r="FV289" s="740"/>
      <c r="FW289" s="740"/>
      <c r="FX289" s="740"/>
      <c r="FY289" s="740"/>
      <c r="FZ289" s="740"/>
      <c r="GA289" s="740"/>
      <c r="GB289" s="740"/>
      <c r="GC289" s="740"/>
      <c r="GD289" s="740"/>
      <c r="GE289" s="740"/>
      <c r="GF289" s="740"/>
      <c r="GG289" s="740"/>
      <c r="GH289" s="740"/>
      <c r="GI289" s="740"/>
      <c r="GJ289" s="740"/>
      <c r="GK289" s="740"/>
      <c r="GL289" s="740"/>
      <c r="GM289" s="740"/>
      <c r="GN289" s="740"/>
      <c r="GO289" s="740"/>
      <c r="GP289" s="740"/>
      <c r="GQ289" s="740"/>
      <c r="GR289" s="740"/>
      <c r="GS289" s="740"/>
      <c r="GT289" s="740"/>
      <c r="GU289" s="740"/>
      <c r="GV289" s="740"/>
      <c r="GW289" s="740"/>
    </row>
    <row r="290" spans="18:205" ht="24" customHeight="1" x14ac:dyDescent="0.2">
      <c r="R290" s="740"/>
      <c r="S290" s="740"/>
      <c r="T290" s="740"/>
      <c r="U290" s="740"/>
      <c r="V290" s="740"/>
      <c r="W290" s="740"/>
      <c r="X290" s="740"/>
      <c r="Y290" s="740"/>
      <c r="Z290" s="740"/>
      <c r="AA290" s="740"/>
      <c r="AB290" s="740"/>
      <c r="AC290" s="740"/>
      <c r="AD290" s="740"/>
      <c r="AE290" s="740"/>
      <c r="AF290" s="740"/>
      <c r="AG290" s="740"/>
      <c r="AH290" s="740"/>
      <c r="AI290" s="740"/>
      <c r="AJ290" s="740"/>
      <c r="AK290" s="740"/>
      <c r="AL290" s="740"/>
      <c r="AM290" s="740"/>
      <c r="AN290" s="740"/>
      <c r="AO290" s="740"/>
      <c r="AP290" s="740"/>
      <c r="AQ290" s="740"/>
      <c r="AR290" s="740"/>
      <c r="AS290" s="740"/>
      <c r="AT290" s="740"/>
      <c r="AU290" s="740"/>
      <c r="AV290" s="740"/>
      <c r="AW290" s="740"/>
      <c r="AX290" s="740"/>
      <c r="AY290" s="740"/>
      <c r="AZ290" s="740"/>
      <c r="BA290" s="740"/>
      <c r="BB290" s="740"/>
      <c r="BC290" s="740"/>
      <c r="BD290" s="740"/>
      <c r="BE290" s="740"/>
      <c r="BF290" s="740"/>
      <c r="BG290" s="740"/>
      <c r="BH290" s="740"/>
      <c r="BI290" s="740"/>
      <c r="BJ290" s="740"/>
      <c r="BK290" s="740"/>
      <c r="BL290" s="740"/>
      <c r="BM290" s="740"/>
      <c r="BN290" s="740"/>
      <c r="BO290" s="740"/>
      <c r="BP290" s="740"/>
      <c r="BQ290" s="740"/>
      <c r="BR290" s="740"/>
      <c r="BS290" s="740"/>
      <c r="BT290" s="740"/>
      <c r="BU290" s="740"/>
      <c r="BV290" s="740"/>
      <c r="BW290" s="740"/>
      <c r="BX290" s="740"/>
      <c r="BY290" s="740"/>
      <c r="BZ290" s="740"/>
      <c r="CA290" s="740"/>
      <c r="CB290" s="740"/>
      <c r="CC290" s="740"/>
      <c r="CD290" s="740"/>
      <c r="CE290" s="740"/>
      <c r="CF290" s="740"/>
      <c r="CG290" s="740"/>
      <c r="CH290" s="740"/>
      <c r="CI290" s="740"/>
      <c r="CJ290" s="740"/>
      <c r="CK290" s="740"/>
      <c r="CL290" s="740"/>
      <c r="CM290" s="740"/>
      <c r="CN290" s="740"/>
      <c r="CO290" s="740"/>
      <c r="CP290" s="740"/>
      <c r="CQ290" s="740"/>
      <c r="CR290" s="740"/>
      <c r="CS290" s="740"/>
      <c r="CT290" s="740"/>
      <c r="CU290" s="740"/>
      <c r="CV290" s="740"/>
      <c r="CW290" s="740"/>
      <c r="CX290" s="740"/>
      <c r="CY290" s="740"/>
      <c r="CZ290" s="740"/>
      <c r="DA290" s="740"/>
      <c r="DB290" s="740"/>
      <c r="DC290" s="740"/>
      <c r="DD290" s="740"/>
      <c r="DE290" s="740"/>
      <c r="DF290" s="740"/>
      <c r="DG290" s="740"/>
      <c r="DH290" s="740"/>
      <c r="DI290" s="740"/>
      <c r="DJ290" s="740"/>
      <c r="DK290" s="740"/>
      <c r="DL290" s="740"/>
      <c r="DM290" s="740"/>
      <c r="DN290" s="740"/>
      <c r="DO290" s="740"/>
      <c r="DP290" s="740"/>
      <c r="DQ290" s="740"/>
      <c r="DR290" s="740"/>
      <c r="DS290" s="740"/>
      <c r="DT290" s="740"/>
      <c r="DU290" s="740"/>
      <c r="DV290" s="740"/>
      <c r="DW290" s="740"/>
      <c r="DX290" s="740"/>
      <c r="DY290" s="740"/>
      <c r="DZ290" s="740"/>
      <c r="EA290" s="740"/>
      <c r="EB290" s="740"/>
      <c r="EC290" s="740"/>
      <c r="ED290" s="740"/>
      <c r="EE290" s="740"/>
      <c r="EF290" s="740"/>
      <c r="EG290" s="740"/>
      <c r="EH290" s="740"/>
      <c r="EI290" s="740"/>
      <c r="EJ290" s="740"/>
      <c r="EK290" s="740"/>
      <c r="EL290" s="740"/>
      <c r="EM290" s="740"/>
      <c r="EN290" s="740"/>
      <c r="EO290" s="740"/>
      <c r="EP290" s="740"/>
      <c r="EQ290" s="740"/>
      <c r="ER290" s="740"/>
      <c r="ES290" s="740"/>
      <c r="ET290" s="740"/>
      <c r="EU290" s="740"/>
      <c r="EV290" s="740"/>
      <c r="EW290" s="740"/>
      <c r="EX290" s="740"/>
      <c r="EY290" s="740"/>
      <c r="EZ290" s="740"/>
      <c r="FA290" s="740"/>
      <c r="FB290" s="740"/>
      <c r="FC290" s="740"/>
      <c r="FD290" s="740"/>
      <c r="FE290" s="740"/>
      <c r="FF290" s="740"/>
      <c r="FG290" s="740"/>
      <c r="FH290" s="740"/>
      <c r="FI290" s="740"/>
      <c r="FJ290" s="740"/>
      <c r="FK290" s="740"/>
      <c r="FL290" s="740"/>
      <c r="FM290" s="740"/>
      <c r="FN290" s="740"/>
      <c r="FO290" s="740"/>
      <c r="FP290" s="740"/>
      <c r="FQ290" s="740"/>
      <c r="FR290" s="740"/>
      <c r="FS290" s="740"/>
      <c r="FT290" s="740"/>
      <c r="FU290" s="740"/>
      <c r="FV290" s="740"/>
      <c r="FW290" s="740"/>
      <c r="FX290" s="740"/>
      <c r="FY290" s="740"/>
      <c r="FZ290" s="740"/>
      <c r="GA290" s="740"/>
      <c r="GB290" s="740"/>
      <c r="GC290" s="740"/>
      <c r="GD290" s="740"/>
      <c r="GE290" s="740"/>
      <c r="GF290" s="740"/>
      <c r="GG290" s="740"/>
      <c r="GH290" s="740"/>
      <c r="GI290" s="740"/>
      <c r="GJ290" s="740"/>
      <c r="GK290" s="740"/>
      <c r="GL290" s="740"/>
      <c r="GM290" s="740"/>
      <c r="GN290" s="740"/>
      <c r="GO290" s="740"/>
      <c r="GP290" s="740"/>
      <c r="GQ290" s="740"/>
      <c r="GR290" s="740"/>
      <c r="GS290" s="740"/>
      <c r="GT290" s="740"/>
      <c r="GU290" s="740"/>
      <c r="GV290" s="740"/>
      <c r="GW290" s="740"/>
    </row>
    <row r="291" spans="18:205" ht="24" customHeight="1" x14ac:dyDescent="0.2">
      <c r="R291" s="740"/>
      <c r="S291" s="740"/>
      <c r="T291" s="740"/>
      <c r="U291" s="740"/>
      <c r="V291" s="740"/>
      <c r="W291" s="740"/>
      <c r="X291" s="740"/>
      <c r="Y291" s="740"/>
      <c r="Z291" s="740"/>
      <c r="AA291" s="740"/>
      <c r="AB291" s="740"/>
      <c r="AC291" s="740"/>
      <c r="AD291" s="740"/>
      <c r="AE291" s="740"/>
      <c r="AF291" s="740"/>
      <c r="AG291" s="740"/>
      <c r="AH291" s="740"/>
      <c r="AI291" s="740"/>
      <c r="AJ291" s="740"/>
      <c r="AK291" s="740"/>
      <c r="AL291" s="740"/>
      <c r="AM291" s="740"/>
      <c r="AN291" s="740"/>
      <c r="AO291" s="740"/>
      <c r="AP291" s="740"/>
      <c r="AQ291" s="740"/>
      <c r="AR291" s="740"/>
      <c r="AS291" s="740"/>
      <c r="AT291" s="740"/>
      <c r="AU291" s="740"/>
      <c r="AV291" s="740"/>
      <c r="AW291" s="740"/>
      <c r="AX291" s="740"/>
      <c r="AY291" s="740"/>
      <c r="AZ291" s="740"/>
      <c r="BA291" s="740"/>
      <c r="BB291" s="740"/>
      <c r="BC291" s="740"/>
      <c r="BD291" s="740"/>
      <c r="BE291" s="740"/>
      <c r="BF291" s="740"/>
      <c r="BG291" s="740"/>
      <c r="BH291" s="740"/>
      <c r="BI291" s="740"/>
      <c r="BJ291" s="740"/>
      <c r="BK291" s="740"/>
      <c r="BL291" s="740"/>
      <c r="BM291" s="740"/>
      <c r="BN291" s="740"/>
      <c r="BO291" s="740"/>
      <c r="BP291" s="740"/>
      <c r="BQ291" s="740"/>
      <c r="BR291" s="740"/>
      <c r="BS291" s="740"/>
      <c r="BT291" s="740"/>
      <c r="BU291" s="740"/>
      <c r="BV291" s="740"/>
      <c r="BW291" s="740"/>
      <c r="BX291" s="740"/>
      <c r="BY291" s="740"/>
      <c r="BZ291" s="740"/>
      <c r="CA291" s="740"/>
      <c r="CB291" s="740"/>
      <c r="CC291" s="740"/>
      <c r="CD291" s="740"/>
      <c r="CE291" s="740"/>
      <c r="CF291" s="740"/>
      <c r="CG291" s="740"/>
      <c r="CH291" s="740"/>
      <c r="CI291" s="740"/>
      <c r="CJ291" s="740"/>
      <c r="CK291" s="740"/>
      <c r="CL291" s="740"/>
      <c r="CM291" s="740"/>
      <c r="CN291" s="740"/>
      <c r="CO291" s="740"/>
      <c r="CP291" s="740"/>
      <c r="CQ291" s="740"/>
      <c r="CR291" s="740"/>
      <c r="CS291" s="740"/>
      <c r="CT291" s="740"/>
      <c r="CU291" s="740"/>
      <c r="CV291" s="740"/>
      <c r="CW291" s="740"/>
      <c r="CX291" s="740"/>
      <c r="CY291" s="740"/>
      <c r="CZ291" s="740"/>
      <c r="DA291" s="740"/>
      <c r="DB291" s="740"/>
      <c r="DC291" s="740"/>
      <c r="DD291" s="740"/>
      <c r="DE291" s="740"/>
      <c r="DF291" s="740"/>
      <c r="DG291" s="740"/>
      <c r="DH291" s="740"/>
      <c r="DI291" s="740"/>
      <c r="DJ291" s="740"/>
      <c r="DK291" s="740"/>
      <c r="DL291" s="740"/>
      <c r="DM291" s="740"/>
      <c r="DN291" s="740"/>
      <c r="DO291" s="740"/>
      <c r="DP291" s="740"/>
      <c r="DQ291" s="740"/>
      <c r="DR291" s="740"/>
      <c r="DS291" s="740"/>
      <c r="DT291" s="740"/>
      <c r="DU291" s="740"/>
      <c r="DV291" s="740"/>
      <c r="DW291" s="740"/>
      <c r="DX291" s="740"/>
      <c r="DY291" s="740"/>
      <c r="DZ291" s="740"/>
      <c r="EA291" s="740"/>
      <c r="EB291" s="740"/>
      <c r="EC291" s="740"/>
      <c r="ED291" s="740"/>
      <c r="EE291" s="740"/>
      <c r="EF291" s="740"/>
      <c r="EG291" s="740"/>
      <c r="EH291" s="740"/>
      <c r="EI291" s="740"/>
      <c r="EJ291" s="740"/>
      <c r="EK291" s="740"/>
      <c r="EL291" s="740"/>
      <c r="EM291" s="740"/>
      <c r="EN291" s="740"/>
      <c r="EO291" s="740"/>
      <c r="EP291" s="740"/>
      <c r="EQ291" s="740"/>
      <c r="ER291" s="740"/>
      <c r="ES291" s="740"/>
      <c r="ET291" s="740"/>
      <c r="EU291" s="740"/>
      <c r="EV291" s="740"/>
      <c r="EW291" s="740"/>
      <c r="EX291" s="740"/>
      <c r="EY291" s="740"/>
      <c r="EZ291" s="740"/>
      <c r="FA291" s="740"/>
      <c r="FB291" s="740"/>
      <c r="FC291" s="740"/>
      <c r="FD291" s="740"/>
      <c r="FE291" s="740"/>
      <c r="FF291" s="740"/>
      <c r="FG291" s="740"/>
      <c r="FH291" s="740"/>
      <c r="FI291" s="740"/>
      <c r="FJ291" s="740"/>
      <c r="FK291" s="740"/>
      <c r="FL291" s="740"/>
      <c r="FM291" s="740"/>
      <c r="FN291" s="740"/>
      <c r="FO291" s="740"/>
      <c r="FP291" s="740"/>
      <c r="FQ291" s="740"/>
      <c r="FR291" s="740"/>
      <c r="FS291" s="740"/>
      <c r="FT291" s="740"/>
      <c r="FU291" s="740"/>
      <c r="FV291" s="740"/>
      <c r="FW291" s="740"/>
      <c r="FX291" s="740"/>
      <c r="FY291" s="740"/>
      <c r="FZ291" s="740"/>
      <c r="GA291" s="740"/>
      <c r="GB291" s="740"/>
      <c r="GC291" s="740"/>
      <c r="GD291" s="740"/>
      <c r="GE291" s="740"/>
      <c r="GF291" s="740"/>
      <c r="GG291" s="740"/>
      <c r="GH291" s="740"/>
      <c r="GI291" s="740"/>
      <c r="GJ291" s="740"/>
      <c r="GK291" s="740"/>
      <c r="GL291" s="740"/>
      <c r="GM291" s="740"/>
      <c r="GN291" s="740"/>
      <c r="GO291" s="740"/>
      <c r="GP291" s="740"/>
      <c r="GQ291" s="740"/>
      <c r="GR291" s="740"/>
      <c r="GS291" s="740"/>
      <c r="GT291" s="740"/>
      <c r="GU291" s="740"/>
      <c r="GV291" s="740"/>
      <c r="GW291" s="740"/>
    </row>
    <row r="292" spans="18:205" ht="24" customHeight="1" x14ac:dyDescent="0.2">
      <c r="R292" s="740"/>
      <c r="S292" s="740"/>
      <c r="T292" s="740"/>
      <c r="U292" s="740"/>
      <c r="V292" s="740"/>
      <c r="W292" s="740"/>
      <c r="X292" s="740"/>
      <c r="Y292" s="740"/>
      <c r="Z292" s="740"/>
      <c r="AA292" s="740"/>
      <c r="AB292" s="740"/>
      <c r="AC292" s="740"/>
      <c r="AD292" s="740"/>
      <c r="AE292" s="740"/>
      <c r="AF292" s="740"/>
      <c r="AG292" s="740"/>
      <c r="AH292" s="740"/>
      <c r="AI292" s="740"/>
      <c r="AJ292" s="740"/>
      <c r="AK292" s="740"/>
      <c r="AL292" s="740"/>
      <c r="AM292" s="740"/>
      <c r="AN292" s="740"/>
      <c r="AO292" s="740"/>
      <c r="AP292" s="740"/>
      <c r="AQ292" s="740"/>
      <c r="AR292" s="740"/>
      <c r="AS292" s="740"/>
      <c r="AT292" s="740"/>
      <c r="AU292" s="740"/>
      <c r="AV292" s="740"/>
      <c r="AW292" s="740"/>
      <c r="AX292" s="740"/>
      <c r="AY292" s="740"/>
      <c r="AZ292" s="740"/>
      <c r="BA292" s="740"/>
      <c r="BB292" s="740"/>
      <c r="BC292" s="740"/>
      <c r="BD292" s="740"/>
      <c r="BE292" s="740"/>
      <c r="BF292" s="740"/>
      <c r="BG292" s="740"/>
      <c r="BH292" s="740"/>
      <c r="BI292" s="740"/>
      <c r="BJ292" s="740"/>
      <c r="BK292" s="740"/>
      <c r="BL292" s="740"/>
      <c r="BM292" s="740"/>
      <c r="BN292" s="740"/>
      <c r="BO292" s="740"/>
      <c r="BP292" s="740"/>
      <c r="BQ292" s="740"/>
      <c r="BR292" s="740"/>
      <c r="BS292" s="740"/>
      <c r="BT292" s="740"/>
      <c r="BU292" s="740"/>
      <c r="BV292" s="740"/>
      <c r="BW292" s="740"/>
      <c r="BX292" s="740"/>
      <c r="BY292" s="740"/>
      <c r="BZ292" s="740"/>
      <c r="CA292" s="740"/>
      <c r="CB292" s="740"/>
      <c r="CC292" s="740"/>
      <c r="CD292" s="740"/>
      <c r="CE292" s="740"/>
      <c r="CF292" s="740"/>
      <c r="CG292" s="740"/>
      <c r="CH292" s="740"/>
      <c r="CI292" s="740"/>
      <c r="CJ292" s="740"/>
      <c r="CK292" s="740"/>
      <c r="CL292" s="740"/>
      <c r="CM292" s="740"/>
      <c r="CN292" s="740"/>
      <c r="CO292" s="740"/>
      <c r="CP292" s="740"/>
      <c r="CQ292" s="740"/>
      <c r="CR292" s="740"/>
      <c r="CS292" s="740"/>
      <c r="CT292" s="740"/>
      <c r="CU292" s="740"/>
      <c r="CV292" s="740"/>
      <c r="CW292" s="740"/>
      <c r="CX292" s="740"/>
      <c r="CY292" s="740"/>
      <c r="CZ292" s="740"/>
      <c r="DA292" s="740"/>
      <c r="DB292" s="740"/>
      <c r="DC292" s="740"/>
      <c r="DD292" s="740"/>
      <c r="DE292" s="740"/>
      <c r="DF292" s="740"/>
      <c r="DG292" s="740"/>
      <c r="DH292" s="740"/>
      <c r="DI292" s="740"/>
      <c r="DJ292" s="740"/>
      <c r="DK292" s="740"/>
      <c r="DL292" s="740"/>
      <c r="DM292" s="740"/>
      <c r="DN292" s="740"/>
      <c r="DO292" s="740"/>
      <c r="DP292" s="740"/>
      <c r="DQ292" s="740"/>
      <c r="DR292" s="740"/>
      <c r="DS292" s="740"/>
      <c r="DT292" s="740"/>
      <c r="DU292" s="740"/>
      <c r="DV292" s="740"/>
      <c r="DW292" s="740"/>
      <c r="DX292" s="740"/>
      <c r="DY292" s="740"/>
      <c r="DZ292" s="740"/>
      <c r="EA292" s="740"/>
      <c r="EB292" s="740"/>
      <c r="EC292" s="740"/>
      <c r="ED292" s="740"/>
      <c r="EE292" s="740"/>
      <c r="EF292" s="740"/>
      <c r="EG292" s="740"/>
      <c r="EH292" s="740"/>
      <c r="EI292" s="740"/>
      <c r="EJ292" s="740"/>
      <c r="EK292" s="740"/>
      <c r="EL292" s="740"/>
      <c r="EM292" s="740"/>
      <c r="EN292" s="740"/>
      <c r="EO292" s="740"/>
      <c r="EP292" s="740"/>
      <c r="EQ292" s="740"/>
      <c r="ER292" s="740"/>
      <c r="ES292" s="740"/>
      <c r="ET292" s="740"/>
      <c r="EU292" s="740"/>
      <c r="EV292" s="740"/>
      <c r="EW292" s="740"/>
      <c r="EX292" s="740"/>
      <c r="EY292" s="740"/>
      <c r="EZ292" s="740"/>
      <c r="FA292" s="740"/>
      <c r="FB292" s="740"/>
      <c r="FC292" s="740"/>
      <c r="FD292" s="740"/>
      <c r="FE292" s="740"/>
      <c r="FF292" s="740"/>
      <c r="FG292" s="740"/>
      <c r="FH292" s="740"/>
      <c r="FI292" s="740"/>
      <c r="FJ292" s="740"/>
      <c r="FK292" s="740"/>
      <c r="FL292" s="740"/>
      <c r="FM292" s="740"/>
      <c r="FN292" s="740"/>
      <c r="FO292" s="740"/>
      <c r="FP292" s="740"/>
      <c r="FQ292" s="740"/>
      <c r="FR292" s="740"/>
      <c r="FS292" s="740"/>
      <c r="FT292" s="740"/>
      <c r="FU292" s="740"/>
      <c r="FV292" s="740"/>
      <c r="FW292" s="740"/>
      <c r="FX292" s="740"/>
      <c r="FY292" s="740"/>
      <c r="FZ292" s="740"/>
      <c r="GA292" s="740"/>
      <c r="GB292" s="740"/>
      <c r="GC292" s="740"/>
      <c r="GD292" s="740"/>
      <c r="GE292" s="740"/>
      <c r="GF292" s="740"/>
      <c r="GG292" s="740"/>
      <c r="GH292" s="740"/>
      <c r="GI292" s="740"/>
      <c r="GJ292" s="740"/>
      <c r="GK292" s="740"/>
      <c r="GL292" s="740"/>
      <c r="GM292" s="740"/>
      <c r="GN292" s="740"/>
      <c r="GO292" s="740"/>
      <c r="GP292" s="740"/>
      <c r="GQ292" s="740"/>
      <c r="GR292" s="740"/>
      <c r="GS292" s="740"/>
      <c r="GT292" s="740"/>
      <c r="GU292" s="740"/>
      <c r="GV292" s="740"/>
      <c r="GW292" s="740"/>
    </row>
    <row r="293" spans="18:205" ht="24" customHeight="1" x14ac:dyDescent="0.2">
      <c r="R293" s="740"/>
      <c r="S293" s="740"/>
      <c r="T293" s="740"/>
      <c r="U293" s="740"/>
      <c r="V293" s="740"/>
      <c r="W293" s="740"/>
      <c r="X293" s="740"/>
      <c r="Y293" s="740"/>
      <c r="Z293" s="740"/>
      <c r="AA293" s="740"/>
      <c r="AB293" s="740"/>
      <c r="AC293" s="740"/>
      <c r="AD293" s="740"/>
      <c r="AE293" s="740"/>
      <c r="AF293" s="740"/>
      <c r="AG293" s="740"/>
      <c r="AH293" s="740"/>
      <c r="AI293" s="740"/>
      <c r="AJ293" s="740"/>
      <c r="AK293" s="740"/>
      <c r="AL293" s="740"/>
      <c r="AM293" s="740"/>
      <c r="AN293" s="740"/>
      <c r="AO293" s="740"/>
      <c r="AP293" s="740"/>
      <c r="AQ293" s="740"/>
      <c r="AR293" s="740"/>
      <c r="AS293" s="740"/>
      <c r="AT293" s="740"/>
      <c r="AU293" s="740"/>
      <c r="AV293" s="740"/>
      <c r="AW293" s="740"/>
      <c r="AX293" s="740"/>
      <c r="AY293" s="740"/>
      <c r="AZ293" s="740"/>
      <c r="BA293" s="740"/>
      <c r="BB293" s="740"/>
      <c r="BC293" s="740"/>
      <c r="BD293" s="740"/>
      <c r="BE293" s="740"/>
      <c r="BF293" s="740"/>
      <c r="BG293" s="740"/>
      <c r="BH293" s="740"/>
      <c r="BI293" s="740"/>
      <c r="BJ293" s="740"/>
      <c r="BK293" s="740"/>
      <c r="BL293" s="740"/>
      <c r="BM293" s="740"/>
      <c r="BN293" s="740"/>
      <c r="BO293" s="740"/>
      <c r="BP293" s="740"/>
      <c r="BQ293" s="740"/>
      <c r="BR293" s="740"/>
      <c r="BS293" s="740"/>
      <c r="BT293" s="740"/>
      <c r="BU293" s="740"/>
      <c r="BV293" s="740"/>
      <c r="BW293" s="740"/>
      <c r="BX293" s="740"/>
      <c r="BY293" s="740"/>
      <c r="BZ293" s="740"/>
      <c r="CA293" s="740"/>
      <c r="CB293" s="740"/>
      <c r="CC293" s="740"/>
      <c r="CD293" s="740"/>
      <c r="CE293" s="740"/>
      <c r="CF293" s="740"/>
      <c r="CG293" s="740"/>
      <c r="CH293" s="740"/>
      <c r="CI293" s="740"/>
      <c r="CJ293" s="740"/>
      <c r="CK293" s="740"/>
      <c r="CL293" s="740"/>
      <c r="CM293" s="740"/>
      <c r="CN293" s="740"/>
      <c r="CO293" s="740"/>
      <c r="CP293" s="740"/>
      <c r="CQ293" s="740"/>
      <c r="CR293" s="740"/>
      <c r="CS293" s="740"/>
      <c r="CT293" s="740"/>
      <c r="CU293" s="740"/>
      <c r="CV293" s="740"/>
      <c r="CW293" s="740"/>
      <c r="CX293" s="740"/>
      <c r="CY293" s="740"/>
      <c r="CZ293" s="740"/>
      <c r="DA293" s="740"/>
      <c r="DB293" s="740"/>
      <c r="DC293" s="740"/>
      <c r="DD293" s="740"/>
      <c r="DE293" s="740"/>
      <c r="DF293" s="740"/>
      <c r="DG293" s="740"/>
      <c r="DH293" s="740"/>
      <c r="DI293" s="740"/>
      <c r="DJ293" s="740"/>
      <c r="DK293" s="740"/>
      <c r="DL293" s="740"/>
      <c r="DM293" s="740"/>
      <c r="DN293" s="740"/>
      <c r="DO293" s="740"/>
      <c r="DP293" s="740"/>
      <c r="DQ293" s="740"/>
      <c r="DR293" s="740"/>
      <c r="DS293" s="740"/>
      <c r="DT293" s="740"/>
      <c r="DU293" s="740"/>
      <c r="DV293" s="740"/>
      <c r="DW293" s="740"/>
      <c r="DX293" s="740"/>
      <c r="DY293" s="740"/>
      <c r="DZ293" s="740"/>
      <c r="EA293" s="740"/>
      <c r="EB293" s="740"/>
      <c r="EC293" s="740"/>
      <c r="ED293" s="740"/>
      <c r="EE293" s="740"/>
      <c r="EF293" s="740"/>
      <c r="EG293" s="740"/>
      <c r="EH293" s="740"/>
      <c r="EI293" s="740"/>
      <c r="EJ293" s="740"/>
      <c r="EK293" s="740"/>
      <c r="EL293" s="740"/>
      <c r="EM293" s="740"/>
      <c r="EN293" s="740"/>
      <c r="EO293" s="740"/>
      <c r="EP293" s="740"/>
      <c r="EQ293" s="740"/>
      <c r="ER293" s="740"/>
      <c r="ES293" s="740"/>
      <c r="ET293" s="740"/>
      <c r="EU293" s="740"/>
      <c r="EV293" s="740"/>
      <c r="EW293" s="740"/>
      <c r="EX293" s="740"/>
      <c r="EY293" s="740"/>
      <c r="EZ293" s="740"/>
      <c r="FA293" s="740"/>
      <c r="FB293" s="740"/>
      <c r="FC293" s="740"/>
      <c r="FD293" s="740"/>
      <c r="FE293" s="740"/>
      <c r="FF293" s="740"/>
      <c r="FG293" s="740"/>
      <c r="FH293" s="740"/>
      <c r="FI293" s="740"/>
      <c r="FJ293" s="740"/>
      <c r="FK293" s="740"/>
      <c r="FL293" s="740"/>
      <c r="FM293" s="740"/>
      <c r="FN293" s="740"/>
      <c r="FO293" s="740"/>
      <c r="FP293" s="740"/>
      <c r="FQ293" s="740"/>
      <c r="FR293" s="740"/>
      <c r="FS293" s="740"/>
      <c r="FT293" s="740"/>
      <c r="FU293" s="740"/>
      <c r="FV293" s="740"/>
      <c r="FW293" s="740"/>
      <c r="FX293" s="740"/>
      <c r="FY293" s="740"/>
      <c r="FZ293" s="740"/>
      <c r="GA293" s="740"/>
      <c r="GB293" s="740"/>
      <c r="GC293" s="740"/>
      <c r="GD293" s="740"/>
      <c r="GE293" s="740"/>
      <c r="GF293" s="740"/>
      <c r="GG293" s="740"/>
      <c r="GH293" s="740"/>
      <c r="GI293" s="740"/>
      <c r="GJ293" s="740"/>
      <c r="GK293" s="740"/>
      <c r="GL293" s="740"/>
      <c r="GM293" s="740"/>
      <c r="GN293" s="740"/>
      <c r="GO293" s="740"/>
      <c r="GP293" s="740"/>
      <c r="GQ293" s="740"/>
      <c r="GR293" s="740"/>
      <c r="GS293" s="740"/>
      <c r="GT293" s="740"/>
      <c r="GU293" s="740"/>
      <c r="GV293" s="740"/>
      <c r="GW293" s="740"/>
    </row>
    <row r="294" spans="18:205" ht="24" customHeight="1" x14ac:dyDescent="0.2">
      <c r="R294" s="740"/>
      <c r="S294" s="740"/>
      <c r="T294" s="740"/>
      <c r="U294" s="740"/>
      <c r="V294" s="740"/>
      <c r="W294" s="740"/>
      <c r="X294" s="740"/>
      <c r="Y294" s="740"/>
      <c r="Z294" s="740"/>
      <c r="AA294" s="740"/>
      <c r="AB294" s="740"/>
      <c r="AC294" s="740"/>
      <c r="AD294" s="740"/>
      <c r="AE294" s="740"/>
      <c r="AF294" s="740"/>
      <c r="AG294" s="740"/>
      <c r="AH294" s="740"/>
      <c r="AI294" s="740"/>
      <c r="AJ294" s="740"/>
      <c r="AK294" s="740"/>
      <c r="AL294" s="740"/>
      <c r="AM294" s="740"/>
      <c r="AN294" s="740"/>
      <c r="AO294" s="740"/>
      <c r="AP294" s="740"/>
      <c r="AQ294" s="740"/>
      <c r="AR294" s="740"/>
      <c r="AS294" s="740"/>
      <c r="AT294" s="740"/>
      <c r="AU294" s="740"/>
      <c r="AV294" s="740"/>
      <c r="AW294" s="740"/>
      <c r="AX294" s="740"/>
      <c r="AY294" s="740"/>
      <c r="AZ294" s="740"/>
      <c r="BA294" s="740"/>
      <c r="BB294" s="740"/>
      <c r="BC294" s="740"/>
      <c r="BD294" s="740"/>
      <c r="BE294" s="740"/>
      <c r="BF294" s="740"/>
      <c r="BG294" s="740"/>
      <c r="BH294" s="740"/>
      <c r="BI294" s="740"/>
      <c r="BJ294" s="740"/>
      <c r="BK294" s="740"/>
      <c r="BL294" s="740"/>
      <c r="BM294" s="740"/>
      <c r="BN294" s="740"/>
      <c r="BO294" s="740"/>
      <c r="BP294" s="740"/>
      <c r="BQ294" s="740"/>
      <c r="BR294" s="740"/>
      <c r="BS294" s="740"/>
      <c r="BT294" s="740"/>
      <c r="BU294" s="740"/>
      <c r="BV294" s="740"/>
      <c r="BW294" s="740"/>
      <c r="BX294" s="740"/>
      <c r="BY294" s="740"/>
      <c r="BZ294" s="740"/>
      <c r="CA294" s="740"/>
      <c r="CB294" s="740"/>
      <c r="CC294" s="740"/>
      <c r="CD294" s="740"/>
      <c r="CE294" s="740"/>
      <c r="CF294" s="740"/>
      <c r="CG294" s="740"/>
      <c r="CH294" s="740"/>
      <c r="CI294" s="740"/>
      <c r="CJ294" s="740"/>
      <c r="CK294" s="740"/>
      <c r="CL294" s="740"/>
      <c r="CM294" s="740"/>
      <c r="CN294" s="740"/>
      <c r="CO294" s="740"/>
      <c r="CP294" s="740"/>
      <c r="CQ294" s="740"/>
      <c r="CR294" s="740"/>
      <c r="CS294" s="740"/>
      <c r="CT294" s="740"/>
      <c r="CU294" s="740"/>
      <c r="CV294" s="740"/>
      <c r="CW294" s="740"/>
      <c r="CX294" s="740"/>
      <c r="CY294" s="740"/>
      <c r="CZ294" s="740"/>
      <c r="DA294" s="740"/>
      <c r="DB294" s="740"/>
      <c r="DC294" s="740"/>
      <c r="DD294" s="740"/>
      <c r="DE294" s="740"/>
      <c r="DF294" s="740"/>
      <c r="DG294" s="740"/>
      <c r="DH294" s="740"/>
      <c r="DI294" s="740"/>
      <c r="DJ294" s="740"/>
      <c r="DK294" s="740"/>
      <c r="DL294" s="740"/>
      <c r="DM294" s="740"/>
      <c r="DN294" s="740"/>
      <c r="DO294" s="740"/>
      <c r="DP294" s="740"/>
      <c r="DQ294" s="740"/>
      <c r="DR294" s="740"/>
      <c r="DS294" s="740"/>
      <c r="DT294" s="740"/>
      <c r="DU294" s="740"/>
      <c r="DV294" s="740"/>
      <c r="DW294" s="740"/>
      <c r="DX294" s="740"/>
      <c r="DY294" s="740"/>
      <c r="DZ294" s="740"/>
      <c r="EA294" s="740"/>
      <c r="EB294" s="740"/>
      <c r="EC294" s="740"/>
      <c r="ED294" s="740"/>
      <c r="EE294" s="740"/>
      <c r="EF294" s="740"/>
      <c r="EG294" s="740"/>
      <c r="EH294" s="740"/>
      <c r="EI294" s="740"/>
      <c r="EJ294" s="740"/>
      <c r="EK294" s="740"/>
      <c r="EL294" s="740"/>
      <c r="EM294" s="740"/>
      <c r="EN294" s="740"/>
      <c r="EO294" s="740"/>
      <c r="EP294" s="740"/>
      <c r="EQ294" s="740"/>
      <c r="ER294" s="740"/>
      <c r="ES294" s="740"/>
      <c r="ET294" s="740"/>
      <c r="EU294" s="740"/>
      <c r="EV294" s="740"/>
      <c r="EW294" s="740"/>
      <c r="EX294" s="740"/>
      <c r="EY294" s="740"/>
      <c r="EZ294" s="740"/>
      <c r="FA294" s="740"/>
      <c r="FB294" s="740"/>
      <c r="FC294" s="740"/>
      <c r="FD294" s="740"/>
      <c r="FE294" s="740"/>
      <c r="FF294" s="740"/>
      <c r="FG294" s="740"/>
      <c r="FH294" s="740"/>
      <c r="FI294" s="740"/>
      <c r="FJ294" s="740"/>
      <c r="FK294" s="740"/>
      <c r="FL294" s="740"/>
      <c r="FM294" s="740"/>
      <c r="FN294" s="740"/>
      <c r="FO294" s="740"/>
      <c r="FP294" s="740"/>
      <c r="FQ294" s="740"/>
      <c r="FR294" s="740"/>
      <c r="FS294" s="740"/>
      <c r="FT294" s="740"/>
      <c r="FU294" s="740"/>
      <c r="FV294" s="740"/>
      <c r="FW294" s="740"/>
      <c r="FX294" s="740"/>
      <c r="FY294" s="740"/>
      <c r="FZ294" s="740"/>
      <c r="GA294" s="740"/>
      <c r="GB294" s="740"/>
      <c r="GC294" s="740"/>
      <c r="GD294" s="740"/>
      <c r="GE294" s="740"/>
      <c r="GF294" s="740"/>
      <c r="GG294" s="740"/>
      <c r="GH294" s="740"/>
      <c r="GI294" s="740"/>
      <c r="GJ294" s="740"/>
      <c r="GK294" s="740"/>
      <c r="GL294" s="740"/>
      <c r="GM294" s="740"/>
      <c r="GN294" s="740"/>
      <c r="GO294" s="740"/>
      <c r="GP294" s="740"/>
      <c r="GQ294" s="740"/>
      <c r="GR294" s="740"/>
      <c r="GS294" s="740"/>
      <c r="GT294" s="740"/>
      <c r="GU294" s="740"/>
      <c r="GV294" s="740"/>
      <c r="GW294" s="740"/>
    </row>
    <row r="295" spans="18:205" ht="24" customHeight="1" x14ac:dyDescent="0.2">
      <c r="R295" s="740"/>
      <c r="S295" s="740"/>
      <c r="T295" s="740"/>
      <c r="U295" s="740"/>
      <c r="V295" s="740"/>
      <c r="W295" s="740"/>
      <c r="X295" s="740"/>
      <c r="Y295" s="740"/>
      <c r="Z295" s="740"/>
      <c r="AA295" s="740"/>
      <c r="AB295" s="740"/>
      <c r="AC295" s="740"/>
      <c r="AD295" s="740"/>
      <c r="AE295" s="740"/>
      <c r="AF295" s="740"/>
      <c r="AG295" s="740"/>
      <c r="AH295" s="740"/>
      <c r="AI295" s="740"/>
      <c r="AJ295" s="740"/>
      <c r="AK295" s="740"/>
      <c r="AL295" s="740"/>
      <c r="AM295" s="740"/>
      <c r="AN295" s="740"/>
      <c r="AO295" s="740"/>
      <c r="AP295" s="740"/>
      <c r="AQ295" s="740"/>
      <c r="AR295" s="740"/>
      <c r="AS295" s="740"/>
      <c r="AT295" s="740"/>
      <c r="AU295" s="740"/>
      <c r="AV295" s="740"/>
      <c r="AW295" s="740"/>
      <c r="AX295" s="740"/>
      <c r="AY295" s="740"/>
      <c r="AZ295" s="740"/>
      <c r="BA295" s="740"/>
      <c r="BB295" s="740"/>
      <c r="BC295" s="740"/>
      <c r="BD295" s="740"/>
      <c r="BE295" s="740"/>
      <c r="BF295" s="740"/>
      <c r="BG295" s="740"/>
      <c r="BH295" s="740"/>
      <c r="BI295" s="740"/>
      <c r="BJ295" s="740"/>
      <c r="BK295" s="740"/>
      <c r="BL295" s="740"/>
      <c r="BM295" s="740"/>
      <c r="BN295" s="740"/>
      <c r="BO295" s="740"/>
      <c r="BP295" s="740"/>
      <c r="BQ295" s="740"/>
      <c r="BR295" s="740"/>
      <c r="BS295" s="740"/>
      <c r="BT295" s="740"/>
      <c r="BU295" s="740"/>
      <c r="BV295" s="740"/>
      <c r="BW295" s="740"/>
      <c r="BX295" s="740"/>
      <c r="BY295" s="740"/>
      <c r="BZ295" s="740"/>
      <c r="CA295" s="740"/>
      <c r="CB295" s="740"/>
      <c r="CC295" s="740"/>
      <c r="CD295" s="740"/>
      <c r="CE295" s="740"/>
      <c r="CF295" s="740"/>
      <c r="CG295" s="740"/>
      <c r="CH295" s="740"/>
      <c r="CI295" s="740"/>
      <c r="CJ295" s="740"/>
      <c r="CK295" s="740"/>
      <c r="CL295" s="740"/>
      <c r="CM295" s="740"/>
      <c r="CN295" s="740"/>
      <c r="CO295" s="740"/>
      <c r="CP295" s="740"/>
      <c r="CQ295" s="740"/>
      <c r="CR295" s="740"/>
      <c r="CS295" s="740"/>
      <c r="CT295" s="740"/>
      <c r="CU295" s="740"/>
      <c r="CV295" s="740"/>
      <c r="CW295" s="740"/>
      <c r="CX295" s="740"/>
      <c r="CY295" s="740"/>
      <c r="CZ295" s="740"/>
      <c r="DA295" s="740"/>
      <c r="DB295" s="740"/>
      <c r="DC295" s="740"/>
      <c r="DD295" s="740"/>
      <c r="DE295" s="740"/>
      <c r="DF295" s="740"/>
      <c r="DG295" s="740"/>
      <c r="DH295" s="740"/>
      <c r="DI295" s="740"/>
      <c r="DJ295" s="740"/>
      <c r="DK295" s="740"/>
      <c r="DL295" s="740"/>
      <c r="DM295" s="740"/>
      <c r="DN295" s="740"/>
      <c r="DO295" s="740"/>
      <c r="DP295" s="740"/>
      <c r="DQ295" s="740"/>
      <c r="DR295" s="740"/>
      <c r="DS295" s="740"/>
      <c r="DT295" s="740"/>
      <c r="DU295" s="740"/>
      <c r="DV295" s="740"/>
      <c r="DW295" s="740"/>
      <c r="DX295" s="740"/>
      <c r="DY295" s="740"/>
      <c r="DZ295" s="740"/>
      <c r="EA295" s="740"/>
      <c r="EB295" s="740"/>
      <c r="EC295" s="740"/>
      <c r="ED295" s="740"/>
      <c r="EE295" s="740"/>
      <c r="EF295" s="740"/>
      <c r="EG295" s="740"/>
      <c r="EH295" s="740"/>
      <c r="EI295" s="740"/>
      <c r="EJ295" s="740"/>
      <c r="EK295" s="740"/>
      <c r="EL295" s="740"/>
      <c r="EM295" s="740"/>
      <c r="EN295" s="740"/>
      <c r="EO295" s="740"/>
      <c r="EP295" s="740"/>
      <c r="EQ295" s="740"/>
      <c r="ER295" s="740"/>
      <c r="ES295" s="740"/>
      <c r="ET295" s="740"/>
      <c r="EU295" s="740"/>
      <c r="EV295" s="740"/>
      <c r="EW295" s="740"/>
      <c r="EX295" s="740"/>
      <c r="EY295" s="740"/>
      <c r="EZ295" s="740"/>
      <c r="FA295" s="740"/>
      <c r="FB295" s="740"/>
      <c r="FC295" s="740"/>
      <c r="FD295" s="740"/>
      <c r="FE295" s="740"/>
      <c r="FF295" s="740"/>
      <c r="FG295" s="740"/>
      <c r="FH295" s="740"/>
      <c r="FI295" s="740"/>
      <c r="FJ295" s="740"/>
      <c r="FK295" s="740"/>
      <c r="FL295" s="740"/>
      <c r="FM295" s="740"/>
      <c r="FN295" s="740"/>
      <c r="FO295" s="740"/>
      <c r="FP295" s="740"/>
      <c r="FQ295" s="740"/>
      <c r="FR295" s="740"/>
      <c r="FS295" s="740"/>
      <c r="FT295" s="740"/>
      <c r="FU295" s="740"/>
      <c r="FV295" s="740"/>
      <c r="FW295" s="740"/>
      <c r="FX295" s="740"/>
      <c r="FY295" s="740"/>
      <c r="FZ295" s="740"/>
      <c r="GA295" s="740"/>
      <c r="GB295" s="740"/>
      <c r="GC295" s="740"/>
      <c r="GD295" s="740"/>
      <c r="GE295" s="740"/>
      <c r="GF295" s="740"/>
      <c r="GG295" s="740"/>
      <c r="GH295" s="740"/>
      <c r="GI295" s="740"/>
      <c r="GJ295" s="740"/>
      <c r="GK295" s="740"/>
      <c r="GL295" s="740"/>
      <c r="GM295" s="740"/>
      <c r="GN295" s="740"/>
      <c r="GO295" s="740"/>
      <c r="GP295" s="740"/>
      <c r="GQ295" s="740"/>
      <c r="GR295" s="740"/>
      <c r="GS295" s="740"/>
      <c r="GT295" s="740"/>
      <c r="GU295" s="740"/>
      <c r="GV295" s="740"/>
      <c r="GW295" s="740"/>
    </row>
    <row r="296" spans="18:205" ht="24" customHeight="1" x14ac:dyDescent="0.2">
      <c r="R296" s="740"/>
      <c r="S296" s="740"/>
      <c r="T296" s="740"/>
      <c r="U296" s="740"/>
      <c r="V296" s="740"/>
      <c r="W296" s="740"/>
      <c r="X296" s="740"/>
      <c r="Y296" s="740"/>
      <c r="Z296" s="740"/>
      <c r="AA296" s="740"/>
      <c r="AB296" s="740"/>
      <c r="AC296" s="740"/>
      <c r="AD296" s="740"/>
      <c r="AE296" s="740"/>
      <c r="AF296" s="740"/>
      <c r="AG296" s="740"/>
      <c r="AH296" s="740"/>
      <c r="AI296" s="740"/>
      <c r="AJ296" s="740"/>
      <c r="AK296" s="740"/>
      <c r="AL296" s="740"/>
      <c r="AM296" s="740"/>
      <c r="AN296" s="740"/>
      <c r="AO296" s="740"/>
      <c r="AP296" s="740"/>
      <c r="AQ296" s="740"/>
      <c r="AR296" s="740"/>
      <c r="AS296" s="740"/>
      <c r="AT296" s="740"/>
      <c r="AU296" s="740"/>
      <c r="AV296" s="740"/>
      <c r="AW296" s="740"/>
      <c r="AX296" s="740"/>
      <c r="AY296" s="740"/>
      <c r="AZ296" s="740"/>
      <c r="BA296" s="740"/>
      <c r="BB296" s="740"/>
      <c r="BC296" s="740"/>
      <c r="BD296" s="740"/>
      <c r="BE296" s="740"/>
      <c r="BF296" s="740"/>
      <c r="BG296" s="740"/>
      <c r="BH296" s="740"/>
      <c r="BI296" s="740"/>
      <c r="BJ296" s="740"/>
      <c r="BK296" s="740"/>
      <c r="BL296" s="740"/>
      <c r="BM296" s="740"/>
      <c r="BN296" s="740"/>
      <c r="BO296" s="740"/>
      <c r="BP296" s="740"/>
      <c r="BQ296" s="740"/>
      <c r="BR296" s="740"/>
      <c r="BS296" s="740"/>
      <c r="BT296" s="740"/>
      <c r="BU296" s="740"/>
      <c r="BV296" s="740"/>
      <c r="BW296" s="740"/>
      <c r="BX296" s="740"/>
      <c r="BY296" s="740"/>
      <c r="BZ296" s="740"/>
      <c r="CA296" s="740"/>
      <c r="CB296" s="740"/>
      <c r="CC296" s="740"/>
      <c r="CD296" s="740"/>
      <c r="CE296" s="740"/>
      <c r="CF296" s="740"/>
      <c r="CG296" s="740"/>
      <c r="CH296" s="740"/>
      <c r="CI296" s="740"/>
      <c r="CJ296" s="740"/>
      <c r="CK296" s="740"/>
      <c r="CL296" s="740"/>
      <c r="CM296" s="740"/>
      <c r="CN296" s="740"/>
      <c r="CO296" s="740"/>
      <c r="CP296" s="740"/>
      <c r="CQ296" s="740"/>
      <c r="CR296" s="740"/>
      <c r="CS296" s="740"/>
      <c r="CT296" s="740"/>
      <c r="CU296" s="740"/>
      <c r="CV296" s="740"/>
      <c r="CW296" s="740"/>
      <c r="CX296" s="740"/>
      <c r="CY296" s="740"/>
      <c r="CZ296" s="740"/>
      <c r="DA296" s="740"/>
      <c r="DB296" s="740"/>
      <c r="DC296" s="740"/>
      <c r="DD296" s="740"/>
      <c r="DE296" s="740"/>
      <c r="DF296" s="740"/>
      <c r="DG296" s="740"/>
      <c r="DH296" s="740"/>
      <c r="DI296" s="740"/>
      <c r="DJ296" s="740"/>
      <c r="DK296" s="740"/>
      <c r="DL296" s="740"/>
      <c r="DM296" s="740"/>
      <c r="DN296" s="740"/>
      <c r="DO296" s="740"/>
      <c r="DP296" s="740"/>
      <c r="DQ296" s="740"/>
      <c r="DR296" s="740"/>
      <c r="DS296" s="740"/>
      <c r="DT296" s="740"/>
      <c r="DU296" s="740"/>
      <c r="DV296" s="740"/>
      <c r="DW296" s="740"/>
      <c r="DX296" s="740"/>
      <c r="DY296" s="740"/>
      <c r="DZ296" s="740"/>
      <c r="EA296" s="740"/>
      <c r="EB296" s="740"/>
      <c r="EC296" s="740"/>
      <c r="ED296" s="740"/>
      <c r="EE296" s="740"/>
      <c r="EF296" s="740"/>
      <c r="EG296" s="740"/>
      <c r="EH296" s="740"/>
      <c r="EI296" s="740"/>
      <c r="EJ296" s="740"/>
      <c r="EK296" s="740"/>
      <c r="EL296" s="740"/>
      <c r="EM296" s="740"/>
      <c r="EN296" s="740"/>
      <c r="EO296" s="740"/>
      <c r="EP296" s="740"/>
      <c r="EQ296" s="740"/>
      <c r="ER296" s="740"/>
      <c r="ES296" s="740"/>
      <c r="ET296" s="740"/>
      <c r="EU296" s="740"/>
      <c r="EV296" s="740"/>
      <c r="EW296" s="740"/>
      <c r="EX296" s="740"/>
      <c r="EY296" s="740"/>
      <c r="EZ296" s="740"/>
      <c r="FA296" s="740"/>
      <c r="FB296" s="740"/>
      <c r="FC296" s="740"/>
      <c r="FD296" s="740"/>
      <c r="FE296" s="740"/>
      <c r="FF296" s="740"/>
      <c r="FG296" s="740"/>
      <c r="FH296" s="740"/>
      <c r="FI296" s="740"/>
      <c r="FJ296" s="740"/>
      <c r="FK296" s="740"/>
      <c r="FL296" s="740"/>
      <c r="FM296" s="740"/>
      <c r="FN296" s="740"/>
      <c r="FO296" s="740"/>
      <c r="FP296" s="740"/>
      <c r="FQ296" s="740"/>
      <c r="FR296" s="740"/>
      <c r="FS296" s="740"/>
      <c r="FT296" s="740"/>
      <c r="FU296" s="740"/>
      <c r="FV296" s="740"/>
      <c r="FW296" s="740"/>
      <c r="FX296" s="740"/>
      <c r="FY296" s="740"/>
      <c r="FZ296" s="740"/>
      <c r="GA296" s="740"/>
      <c r="GB296" s="740"/>
      <c r="GC296" s="740"/>
      <c r="GD296" s="740"/>
      <c r="GE296" s="740"/>
      <c r="GF296" s="740"/>
      <c r="GG296" s="740"/>
      <c r="GH296" s="740"/>
      <c r="GI296" s="740"/>
      <c r="GJ296" s="740"/>
      <c r="GK296" s="740"/>
      <c r="GL296" s="740"/>
      <c r="GM296" s="740"/>
      <c r="GN296" s="740"/>
      <c r="GO296" s="740"/>
      <c r="GP296" s="740"/>
      <c r="GQ296" s="740"/>
      <c r="GR296" s="740"/>
      <c r="GS296" s="740"/>
      <c r="GT296" s="740"/>
      <c r="GU296" s="740"/>
      <c r="GV296" s="740"/>
      <c r="GW296" s="740"/>
    </row>
    <row r="297" spans="18:205" ht="24" customHeight="1" x14ac:dyDescent="0.2">
      <c r="R297" s="740"/>
      <c r="S297" s="740"/>
      <c r="T297" s="740"/>
      <c r="U297" s="740"/>
      <c r="V297" s="740"/>
      <c r="W297" s="740"/>
      <c r="X297" s="740"/>
      <c r="Y297" s="740"/>
      <c r="Z297" s="740"/>
      <c r="AA297" s="740"/>
      <c r="AB297" s="740"/>
      <c r="AC297" s="740"/>
      <c r="AD297" s="740"/>
      <c r="AE297" s="740"/>
      <c r="AF297" s="740"/>
      <c r="AG297" s="740"/>
      <c r="AH297" s="740"/>
      <c r="AI297" s="740"/>
      <c r="AJ297" s="740"/>
      <c r="AK297" s="740"/>
      <c r="AL297" s="740"/>
      <c r="AM297" s="740"/>
      <c r="AN297" s="740"/>
      <c r="AO297" s="740"/>
      <c r="AP297" s="740"/>
      <c r="AQ297" s="740"/>
      <c r="AR297" s="740"/>
      <c r="AS297" s="740"/>
      <c r="AT297" s="740"/>
      <c r="AU297" s="740"/>
      <c r="AV297" s="740"/>
      <c r="AW297" s="740"/>
      <c r="AX297" s="740"/>
      <c r="AY297" s="740"/>
      <c r="AZ297" s="740"/>
      <c r="BA297" s="740"/>
      <c r="BB297" s="740"/>
      <c r="BC297" s="740"/>
      <c r="BD297" s="740"/>
      <c r="BE297" s="740"/>
      <c r="BF297" s="740"/>
      <c r="BG297" s="740"/>
      <c r="BH297" s="740"/>
      <c r="BI297" s="740"/>
      <c r="BJ297" s="740"/>
      <c r="BK297" s="740"/>
      <c r="BL297" s="740"/>
      <c r="BM297" s="740"/>
      <c r="BN297" s="740"/>
      <c r="BO297" s="740"/>
      <c r="BP297" s="740"/>
      <c r="BQ297" s="740"/>
      <c r="BR297" s="740"/>
      <c r="BS297" s="740"/>
      <c r="BT297" s="740"/>
      <c r="BU297" s="740"/>
      <c r="BV297" s="740"/>
      <c r="BW297" s="740"/>
      <c r="BX297" s="740"/>
      <c r="BY297" s="740"/>
      <c r="BZ297" s="740"/>
      <c r="CA297" s="740"/>
      <c r="CB297" s="740"/>
      <c r="CC297" s="740"/>
      <c r="CD297" s="740"/>
      <c r="CE297" s="740"/>
      <c r="CF297" s="740"/>
      <c r="CG297" s="740"/>
      <c r="CH297" s="740"/>
      <c r="CI297" s="740"/>
      <c r="CJ297" s="740"/>
      <c r="CK297" s="740"/>
      <c r="CL297" s="740"/>
      <c r="CM297" s="740"/>
      <c r="CN297" s="740"/>
      <c r="CO297" s="740"/>
      <c r="CP297" s="740"/>
      <c r="CQ297" s="740"/>
      <c r="CR297" s="740"/>
      <c r="CS297" s="740"/>
      <c r="CT297" s="740"/>
      <c r="CU297" s="740"/>
      <c r="CV297" s="740"/>
      <c r="CW297" s="740"/>
      <c r="CX297" s="740"/>
      <c r="CY297" s="740"/>
      <c r="CZ297" s="740"/>
      <c r="DA297" s="740"/>
      <c r="DB297" s="740"/>
      <c r="DC297" s="740"/>
      <c r="DD297" s="740"/>
      <c r="DE297" s="740"/>
      <c r="DF297" s="740"/>
      <c r="DG297" s="740"/>
      <c r="DH297" s="740"/>
      <c r="DI297" s="740"/>
      <c r="DJ297" s="740"/>
      <c r="DK297" s="740"/>
      <c r="DL297" s="740"/>
      <c r="DM297" s="740"/>
      <c r="DN297" s="740"/>
      <c r="DO297" s="740"/>
      <c r="DP297" s="740"/>
      <c r="DQ297" s="740"/>
      <c r="DR297" s="740"/>
      <c r="DS297" s="740"/>
      <c r="DT297" s="740"/>
      <c r="DU297" s="740"/>
      <c r="DV297" s="740"/>
      <c r="DW297" s="740"/>
      <c r="DX297" s="740"/>
      <c r="DY297" s="740"/>
      <c r="DZ297" s="740"/>
      <c r="EA297" s="740"/>
      <c r="EB297" s="740"/>
      <c r="EC297" s="740"/>
      <c r="ED297" s="740"/>
      <c r="EE297" s="740"/>
      <c r="EF297" s="740"/>
      <c r="EG297" s="740"/>
      <c r="EH297" s="740"/>
      <c r="EI297" s="740"/>
      <c r="EJ297" s="740"/>
      <c r="EK297" s="740"/>
      <c r="EL297" s="740"/>
      <c r="EM297" s="740"/>
      <c r="EN297" s="740"/>
      <c r="EO297" s="740"/>
      <c r="EP297" s="740"/>
      <c r="EQ297" s="740"/>
      <c r="ER297" s="740"/>
      <c r="ES297" s="740"/>
      <c r="ET297" s="740"/>
      <c r="EU297" s="740"/>
      <c r="EV297" s="740"/>
      <c r="EW297" s="740"/>
      <c r="EX297" s="740"/>
      <c r="EY297" s="740"/>
      <c r="EZ297" s="740"/>
      <c r="FA297" s="740"/>
      <c r="FB297" s="740"/>
      <c r="FC297" s="740"/>
      <c r="FD297" s="740"/>
      <c r="FE297" s="740"/>
      <c r="FF297" s="740"/>
      <c r="FG297" s="740"/>
      <c r="FH297" s="740"/>
      <c r="FI297" s="740"/>
      <c r="FJ297" s="740"/>
      <c r="FK297" s="740"/>
      <c r="FL297" s="740"/>
      <c r="FM297" s="740"/>
      <c r="FN297" s="740"/>
      <c r="FO297" s="740"/>
      <c r="FP297" s="740"/>
      <c r="FQ297" s="740"/>
      <c r="FR297" s="740"/>
      <c r="FS297" s="740"/>
      <c r="FT297" s="740"/>
      <c r="FU297" s="740"/>
      <c r="FV297" s="740"/>
      <c r="FW297" s="740"/>
      <c r="FX297" s="740"/>
      <c r="FY297" s="740"/>
      <c r="FZ297" s="740"/>
      <c r="GA297" s="740"/>
      <c r="GB297" s="740"/>
      <c r="GC297" s="740"/>
      <c r="GD297" s="740"/>
      <c r="GE297" s="740"/>
      <c r="GF297" s="740"/>
      <c r="GG297" s="740"/>
      <c r="GH297" s="740"/>
      <c r="GI297" s="740"/>
      <c r="GJ297" s="740"/>
      <c r="GK297" s="740"/>
      <c r="GL297" s="740"/>
      <c r="GM297" s="740"/>
      <c r="GN297" s="740"/>
      <c r="GO297" s="740"/>
      <c r="GP297" s="740"/>
      <c r="GQ297" s="740"/>
      <c r="GR297" s="740"/>
      <c r="GS297" s="740"/>
      <c r="GT297" s="740"/>
      <c r="GU297" s="740"/>
      <c r="GV297" s="740"/>
      <c r="GW297" s="740"/>
    </row>
    <row r="298" spans="18:205" ht="24" customHeight="1" x14ac:dyDescent="0.2">
      <c r="R298" s="740"/>
      <c r="S298" s="740"/>
      <c r="T298" s="740"/>
      <c r="U298" s="740"/>
      <c r="V298" s="740"/>
      <c r="W298" s="740"/>
      <c r="X298" s="740"/>
      <c r="Y298" s="740"/>
      <c r="Z298" s="740"/>
      <c r="AA298" s="740"/>
      <c r="AB298" s="740"/>
      <c r="AC298" s="740"/>
      <c r="AD298" s="740"/>
      <c r="AE298" s="740"/>
      <c r="AF298" s="740"/>
      <c r="AG298" s="740"/>
      <c r="AH298" s="740"/>
      <c r="AI298" s="740"/>
      <c r="AJ298" s="740"/>
      <c r="AK298" s="740"/>
      <c r="AL298" s="740"/>
      <c r="AM298" s="740"/>
      <c r="AN298" s="740"/>
      <c r="AO298" s="740"/>
      <c r="AP298" s="740"/>
      <c r="AQ298" s="740"/>
      <c r="AR298" s="740"/>
      <c r="AS298" s="740"/>
      <c r="AT298" s="740"/>
      <c r="AU298" s="740"/>
      <c r="AV298" s="740"/>
      <c r="AW298" s="740"/>
      <c r="AX298" s="740"/>
      <c r="AY298" s="740"/>
      <c r="AZ298" s="740"/>
      <c r="BA298" s="740"/>
      <c r="BB298" s="740"/>
      <c r="BC298" s="740"/>
      <c r="BD298" s="740"/>
      <c r="BE298" s="740"/>
      <c r="BF298" s="740"/>
      <c r="BG298" s="740"/>
      <c r="BH298" s="740"/>
      <c r="BI298" s="740"/>
      <c r="BJ298" s="740"/>
      <c r="BK298" s="740"/>
      <c r="BL298" s="740"/>
      <c r="BM298" s="740"/>
      <c r="BN298" s="740"/>
      <c r="BO298" s="740"/>
      <c r="BP298" s="740"/>
      <c r="BQ298" s="740"/>
      <c r="BR298" s="740"/>
      <c r="BS298" s="740"/>
      <c r="BT298" s="740"/>
      <c r="BU298" s="740"/>
      <c r="BV298" s="740"/>
      <c r="BW298" s="740"/>
      <c r="BX298" s="740"/>
      <c r="BY298" s="740"/>
      <c r="BZ298" s="740"/>
      <c r="CA298" s="740"/>
      <c r="CB298" s="740"/>
      <c r="CC298" s="740"/>
      <c r="CD298" s="740"/>
      <c r="CE298" s="740"/>
      <c r="CF298" s="740"/>
      <c r="CG298" s="740"/>
      <c r="CH298" s="740"/>
      <c r="CI298" s="740"/>
      <c r="CJ298" s="740"/>
      <c r="CK298" s="740"/>
      <c r="CL298" s="740"/>
      <c r="CM298" s="740"/>
      <c r="CN298" s="740"/>
      <c r="CO298" s="740"/>
      <c r="CP298" s="740"/>
      <c r="CQ298" s="740"/>
      <c r="CR298" s="740"/>
      <c r="CS298" s="740"/>
      <c r="CT298" s="740"/>
      <c r="CU298" s="740"/>
      <c r="CV298" s="740"/>
      <c r="CW298" s="740"/>
      <c r="CX298" s="740"/>
      <c r="CY298" s="740"/>
      <c r="CZ298" s="740"/>
      <c r="DA298" s="740"/>
      <c r="DB298" s="740"/>
      <c r="DC298" s="740"/>
      <c r="DD298" s="740"/>
      <c r="DE298" s="740"/>
      <c r="DF298" s="740"/>
      <c r="DG298" s="740"/>
      <c r="DH298" s="740"/>
      <c r="DI298" s="740"/>
      <c r="DJ298" s="740"/>
      <c r="DK298" s="740"/>
      <c r="DL298" s="740"/>
      <c r="DM298" s="740"/>
      <c r="DN298" s="740"/>
      <c r="DO298" s="740"/>
      <c r="DP298" s="740"/>
      <c r="DQ298" s="740"/>
      <c r="DR298" s="740"/>
      <c r="DS298" s="740"/>
      <c r="DT298" s="740"/>
      <c r="DU298" s="740"/>
      <c r="DV298" s="740"/>
      <c r="DW298" s="740"/>
      <c r="DX298" s="740"/>
      <c r="DY298" s="740"/>
      <c r="DZ298" s="740"/>
      <c r="EA298" s="740"/>
      <c r="EB298" s="740"/>
      <c r="EC298" s="740"/>
      <c r="ED298" s="740"/>
      <c r="EE298" s="740"/>
      <c r="EF298" s="740"/>
      <c r="EG298" s="740"/>
      <c r="EH298" s="740"/>
      <c r="EI298" s="740"/>
      <c r="EJ298" s="740"/>
      <c r="EK298" s="740"/>
      <c r="EL298" s="740"/>
      <c r="EM298" s="740"/>
      <c r="EN298" s="740"/>
      <c r="EO298" s="740"/>
      <c r="EP298" s="740"/>
      <c r="EQ298" s="740"/>
      <c r="ER298" s="740"/>
      <c r="ES298" s="740"/>
      <c r="ET298" s="740"/>
      <c r="EU298" s="740"/>
      <c r="EV298" s="740"/>
      <c r="EW298" s="740"/>
      <c r="EX298" s="740"/>
      <c r="EY298" s="740"/>
      <c r="EZ298" s="740"/>
      <c r="FA298" s="740"/>
      <c r="FB298" s="740"/>
      <c r="FC298" s="740"/>
      <c r="FD298" s="740"/>
      <c r="FE298" s="740"/>
      <c r="FF298" s="740"/>
      <c r="FG298" s="740"/>
      <c r="FH298" s="740"/>
      <c r="FI298" s="740"/>
      <c r="FJ298" s="740"/>
      <c r="FK298" s="740"/>
      <c r="FL298" s="740"/>
      <c r="FM298" s="740"/>
      <c r="FN298" s="740"/>
      <c r="FO298" s="740"/>
      <c r="FP298" s="740"/>
      <c r="FQ298" s="740"/>
      <c r="FR298" s="740"/>
      <c r="FS298" s="740"/>
      <c r="FT298" s="740"/>
      <c r="FU298" s="740"/>
      <c r="FV298" s="740"/>
      <c r="FW298" s="740"/>
      <c r="FX298" s="740"/>
      <c r="FY298" s="740"/>
      <c r="FZ298" s="740"/>
      <c r="GA298" s="740"/>
      <c r="GB298" s="740"/>
      <c r="GC298" s="740"/>
      <c r="GD298" s="740"/>
      <c r="GE298" s="740"/>
      <c r="GF298" s="740"/>
      <c r="GG298" s="740"/>
      <c r="GH298" s="740"/>
      <c r="GI298" s="740"/>
      <c r="GJ298" s="740"/>
      <c r="GK298" s="740"/>
      <c r="GL298" s="740"/>
      <c r="GM298" s="740"/>
      <c r="GN298" s="740"/>
      <c r="GO298" s="740"/>
      <c r="GP298" s="740"/>
      <c r="GQ298" s="740"/>
      <c r="GR298" s="740"/>
      <c r="GS298" s="740"/>
      <c r="GT298" s="740"/>
      <c r="GU298" s="740"/>
      <c r="GV298" s="740"/>
      <c r="GW298" s="740"/>
    </row>
    <row r="299" spans="18:205" ht="24" customHeight="1" x14ac:dyDescent="0.2">
      <c r="R299" s="740"/>
      <c r="S299" s="740"/>
      <c r="T299" s="740"/>
      <c r="U299" s="740"/>
      <c r="V299" s="740"/>
      <c r="W299" s="740"/>
      <c r="X299" s="740"/>
      <c r="Y299" s="740"/>
      <c r="Z299" s="740"/>
      <c r="AA299" s="740"/>
      <c r="AB299" s="740"/>
      <c r="AC299" s="740"/>
      <c r="AD299" s="740"/>
      <c r="AE299" s="740"/>
      <c r="AF299" s="740"/>
      <c r="AG299" s="740"/>
      <c r="AH299" s="740"/>
      <c r="AI299" s="740"/>
      <c r="AJ299" s="740"/>
      <c r="AK299" s="740"/>
      <c r="AL299" s="740"/>
      <c r="AM299" s="740"/>
      <c r="AN299" s="740"/>
      <c r="AO299" s="740"/>
      <c r="AP299" s="740"/>
      <c r="AQ299" s="740"/>
      <c r="AR299" s="740"/>
      <c r="AS299" s="740"/>
      <c r="AT299" s="740"/>
      <c r="AU299" s="740"/>
      <c r="AV299" s="740"/>
      <c r="AW299" s="740"/>
      <c r="AX299" s="740"/>
      <c r="AY299" s="740"/>
      <c r="AZ299" s="740"/>
      <c r="BA299" s="740"/>
      <c r="BB299" s="740"/>
      <c r="BC299" s="740"/>
      <c r="BD299" s="740"/>
      <c r="BE299" s="740"/>
      <c r="BF299" s="740"/>
      <c r="BG299" s="740"/>
      <c r="BH299" s="740"/>
      <c r="BI299" s="740"/>
      <c r="BJ299" s="740"/>
      <c r="BK299" s="740"/>
      <c r="BL299" s="740"/>
      <c r="BM299" s="740"/>
      <c r="BN299" s="740"/>
      <c r="BO299" s="740"/>
      <c r="BP299" s="740"/>
      <c r="BQ299" s="740"/>
      <c r="BR299" s="740"/>
      <c r="BS299" s="740"/>
      <c r="BT299" s="740"/>
      <c r="BU299" s="740"/>
      <c r="BV299" s="740"/>
      <c r="BW299" s="740"/>
      <c r="BX299" s="740"/>
      <c r="BY299" s="740"/>
      <c r="BZ299" s="740"/>
      <c r="CA299" s="740"/>
      <c r="CB299" s="740"/>
      <c r="CC299" s="740"/>
      <c r="CD299" s="740"/>
      <c r="CE299" s="740"/>
      <c r="CF299" s="740"/>
      <c r="CG299" s="740"/>
      <c r="CH299" s="740"/>
      <c r="CI299" s="740"/>
      <c r="CJ299" s="740"/>
      <c r="CK299" s="740"/>
      <c r="CL299" s="740"/>
      <c r="CM299" s="740"/>
      <c r="CN299" s="740"/>
      <c r="CO299" s="740"/>
      <c r="CP299" s="740"/>
      <c r="CQ299" s="740"/>
      <c r="CR299" s="740"/>
      <c r="CS299" s="740"/>
      <c r="CT299" s="740"/>
      <c r="CU299" s="740"/>
      <c r="CV299" s="740"/>
      <c r="CW299" s="740"/>
      <c r="CX299" s="740"/>
      <c r="CY299" s="740"/>
      <c r="CZ299" s="740"/>
      <c r="DA299" s="740"/>
      <c r="DB299" s="740"/>
      <c r="DC299" s="740"/>
      <c r="DD299" s="740"/>
      <c r="DE299" s="740"/>
      <c r="DF299" s="740"/>
      <c r="DG299" s="740"/>
      <c r="DH299" s="740"/>
      <c r="DI299" s="740"/>
      <c r="DJ299" s="740"/>
      <c r="DK299" s="740"/>
      <c r="DL299" s="740"/>
      <c r="DM299" s="740"/>
      <c r="DN299" s="740"/>
      <c r="DO299" s="740"/>
      <c r="DP299" s="740"/>
      <c r="DQ299" s="740"/>
      <c r="DR299" s="740"/>
      <c r="DS299" s="740"/>
      <c r="DT299" s="740"/>
      <c r="DU299" s="740"/>
      <c r="DV299" s="740"/>
      <c r="DW299" s="740"/>
      <c r="DX299" s="740"/>
      <c r="DY299" s="740"/>
      <c r="DZ299" s="740"/>
      <c r="EA299" s="740"/>
      <c r="EB299" s="740"/>
      <c r="EC299" s="740"/>
      <c r="ED299" s="740"/>
      <c r="EE299" s="740"/>
      <c r="EF299" s="740"/>
      <c r="EG299" s="740"/>
      <c r="EH299" s="740"/>
      <c r="EI299" s="740"/>
      <c r="EJ299" s="740"/>
      <c r="EK299" s="740"/>
      <c r="EL299" s="740"/>
      <c r="EM299" s="740"/>
      <c r="EN299" s="740"/>
      <c r="EO299" s="740"/>
      <c r="EP299" s="740"/>
      <c r="EQ299" s="740"/>
      <c r="ER299" s="740"/>
      <c r="ES299" s="740"/>
      <c r="ET299" s="740"/>
      <c r="EU299" s="740"/>
      <c r="EV299" s="740"/>
      <c r="EW299" s="740"/>
      <c r="EX299" s="740"/>
      <c r="EY299" s="740"/>
      <c r="EZ299" s="740"/>
      <c r="FA299" s="740"/>
      <c r="FB299" s="740"/>
      <c r="FC299" s="740"/>
      <c r="FD299" s="740"/>
      <c r="FE299" s="740"/>
      <c r="FF299" s="740"/>
      <c r="FG299" s="740"/>
      <c r="FH299" s="740"/>
      <c r="FI299" s="740"/>
      <c r="FJ299" s="740"/>
      <c r="FK299" s="740"/>
      <c r="FL299" s="740"/>
      <c r="FM299" s="740"/>
      <c r="FN299" s="740"/>
      <c r="FO299" s="740"/>
      <c r="FP299" s="740"/>
      <c r="FQ299" s="740"/>
      <c r="FR299" s="740"/>
      <c r="FS299" s="740"/>
      <c r="FT299" s="740"/>
      <c r="FU299" s="740"/>
      <c r="FV299" s="740"/>
      <c r="FW299" s="740"/>
      <c r="FX299" s="740"/>
      <c r="FY299" s="740"/>
      <c r="FZ299" s="740"/>
      <c r="GA299" s="740"/>
      <c r="GB299" s="740"/>
      <c r="GC299" s="740"/>
      <c r="GD299" s="740"/>
      <c r="GE299" s="740"/>
      <c r="GF299" s="740"/>
      <c r="GG299" s="740"/>
      <c r="GH299" s="740"/>
      <c r="GI299" s="740"/>
      <c r="GJ299" s="740"/>
      <c r="GK299" s="740"/>
      <c r="GL299" s="740"/>
      <c r="GM299" s="740"/>
      <c r="GN299" s="740"/>
      <c r="GO299" s="740"/>
      <c r="GP299" s="740"/>
      <c r="GQ299" s="740"/>
      <c r="GR299" s="740"/>
      <c r="GS299" s="740"/>
      <c r="GT299" s="740"/>
      <c r="GU299" s="740"/>
      <c r="GV299" s="740"/>
      <c r="GW299" s="740"/>
    </row>
    <row r="300" spans="18:205" ht="24" customHeight="1" x14ac:dyDescent="0.2">
      <c r="R300" s="740"/>
      <c r="S300" s="740"/>
      <c r="T300" s="740"/>
      <c r="U300" s="740"/>
      <c r="V300" s="740"/>
      <c r="W300" s="740"/>
      <c r="X300" s="740"/>
      <c r="Y300" s="740"/>
      <c r="Z300" s="740"/>
      <c r="AA300" s="740"/>
      <c r="AB300" s="740"/>
      <c r="AC300" s="740"/>
      <c r="AD300" s="740"/>
      <c r="AE300" s="740"/>
      <c r="AF300" s="740"/>
      <c r="AG300" s="740"/>
      <c r="AH300" s="740"/>
      <c r="AI300" s="740"/>
      <c r="AJ300" s="740"/>
      <c r="AK300" s="740"/>
      <c r="AL300" s="740"/>
      <c r="AM300" s="740"/>
      <c r="AN300" s="740"/>
      <c r="AO300" s="740"/>
      <c r="AP300" s="740"/>
      <c r="AQ300" s="740"/>
      <c r="AR300" s="740"/>
      <c r="AS300" s="740"/>
      <c r="AT300" s="740"/>
      <c r="AU300" s="740"/>
      <c r="AV300" s="740"/>
      <c r="AW300" s="740"/>
      <c r="AX300" s="740"/>
      <c r="AY300" s="740"/>
      <c r="AZ300" s="740"/>
      <c r="BA300" s="740"/>
      <c r="BB300" s="740"/>
      <c r="BC300" s="740"/>
      <c r="BD300" s="740"/>
      <c r="BE300" s="740"/>
      <c r="BF300" s="740"/>
      <c r="BG300" s="740"/>
      <c r="BH300" s="740"/>
      <c r="BI300" s="740"/>
      <c r="BJ300" s="740"/>
      <c r="BK300" s="740"/>
      <c r="BL300" s="740"/>
      <c r="BM300" s="740"/>
      <c r="BN300" s="740"/>
      <c r="BO300" s="740"/>
      <c r="BP300" s="740"/>
      <c r="BQ300" s="740"/>
      <c r="BR300" s="740"/>
      <c r="BS300" s="740"/>
      <c r="BT300" s="740"/>
      <c r="BU300" s="740"/>
      <c r="BV300" s="740"/>
      <c r="BW300" s="740"/>
      <c r="BX300" s="740"/>
      <c r="BY300" s="740"/>
      <c r="BZ300" s="740"/>
      <c r="CA300" s="740"/>
      <c r="CB300" s="740"/>
      <c r="CC300" s="740"/>
      <c r="CD300" s="740"/>
      <c r="CE300" s="740"/>
      <c r="CF300" s="740"/>
      <c r="CG300" s="740"/>
      <c r="CH300" s="740"/>
      <c r="CI300" s="740"/>
      <c r="CJ300" s="740"/>
      <c r="CK300" s="740"/>
      <c r="CL300" s="740"/>
      <c r="CM300" s="740"/>
      <c r="CN300" s="740"/>
      <c r="CO300" s="740"/>
      <c r="CP300" s="740"/>
      <c r="CQ300" s="740"/>
      <c r="CR300" s="740"/>
      <c r="CS300" s="740"/>
      <c r="CT300" s="740"/>
      <c r="CU300" s="740"/>
      <c r="CV300" s="740"/>
      <c r="CW300" s="740"/>
      <c r="CX300" s="740"/>
      <c r="CY300" s="740"/>
      <c r="CZ300" s="740"/>
      <c r="DA300" s="740"/>
      <c r="DB300" s="740"/>
      <c r="DC300" s="740"/>
      <c r="DD300" s="740"/>
      <c r="DE300" s="740"/>
      <c r="DF300" s="740"/>
      <c r="DG300" s="740"/>
      <c r="DH300" s="740"/>
      <c r="DI300" s="740"/>
      <c r="DJ300" s="740"/>
      <c r="DK300" s="740"/>
      <c r="DL300" s="740"/>
      <c r="DM300" s="740"/>
      <c r="DN300" s="740"/>
      <c r="DO300" s="740"/>
      <c r="DP300" s="740"/>
      <c r="DQ300" s="740"/>
      <c r="DR300" s="740"/>
      <c r="DS300" s="740"/>
      <c r="DT300" s="740"/>
      <c r="DU300" s="740"/>
      <c r="DV300" s="740"/>
      <c r="DW300" s="740"/>
      <c r="DX300" s="740"/>
      <c r="DY300" s="740"/>
      <c r="DZ300" s="740"/>
      <c r="EA300" s="740"/>
      <c r="EB300" s="740"/>
      <c r="EC300" s="740"/>
      <c r="ED300" s="740"/>
      <c r="EE300" s="740"/>
      <c r="EF300" s="740"/>
      <c r="EG300" s="740"/>
      <c r="EH300" s="740"/>
      <c r="EI300" s="740"/>
      <c r="EJ300" s="740"/>
      <c r="EK300" s="740"/>
      <c r="EL300" s="740"/>
      <c r="EM300" s="740"/>
      <c r="EN300" s="740"/>
      <c r="EO300" s="740"/>
      <c r="EP300" s="740"/>
      <c r="EQ300" s="740"/>
      <c r="ER300" s="740"/>
      <c r="ES300" s="740"/>
      <c r="ET300" s="740"/>
      <c r="EU300" s="740"/>
      <c r="EV300" s="740"/>
      <c r="EW300" s="740"/>
      <c r="EX300" s="740"/>
      <c r="EY300" s="740"/>
      <c r="EZ300" s="740"/>
      <c r="FA300" s="740"/>
      <c r="FB300" s="740"/>
      <c r="FC300" s="740"/>
      <c r="FD300" s="740"/>
      <c r="FE300" s="740"/>
      <c r="FF300" s="740"/>
      <c r="FG300" s="740"/>
      <c r="FH300" s="740"/>
      <c r="FI300" s="740"/>
      <c r="FJ300" s="740"/>
      <c r="FK300" s="740"/>
      <c r="FL300" s="740"/>
      <c r="FM300" s="740"/>
      <c r="FN300" s="740"/>
      <c r="FO300" s="740"/>
      <c r="FP300" s="740"/>
      <c r="FQ300" s="740"/>
      <c r="FR300" s="740"/>
      <c r="FS300" s="740"/>
      <c r="FT300" s="740"/>
      <c r="FU300" s="740"/>
      <c r="FV300" s="740"/>
      <c r="FW300" s="740"/>
      <c r="FX300" s="740"/>
      <c r="FY300" s="740"/>
      <c r="FZ300" s="740"/>
      <c r="GA300" s="740"/>
      <c r="GB300" s="740"/>
      <c r="GC300" s="740"/>
      <c r="GD300" s="740"/>
      <c r="GE300" s="740"/>
      <c r="GF300" s="740"/>
      <c r="GG300" s="740"/>
      <c r="GH300" s="740"/>
      <c r="GI300" s="740"/>
      <c r="GJ300" s="740"/>
      <c r="GK300" s="740"/>
      <c r="GL300" s="740"/>
      <c r="GM300" s="740"/>
      <c r="GN300" s="740"/>
      <c r="GO300" s="740"/>
      <c r="GP300" s="740"/>
      <c r="GQ300" s="740"/>
      <c r="GR300" s="740"/>
      <c r="GS300" s="740"/>
      <c r="GT300" s="740"/>
      <c r="GU300" s="740"/>
      <c r="GV300" s="740"/>
      <c r="GW300" s="740"/>
    </row>
    <row r="301" spans="18:205" ht="24" customHeight="1" x14ac:dyDescent="0.2">
      <c r="R301" s="740"/>
      <c r="S301" s="740"/>
      <c r="T301" s="740"/>
      <c r="U301" s="740"/>
      <c r="V301" s="740"/>
      <c r="W301" s="740"/>
      <c r="X301" s="740"/>
      <c r="Y301" s="740"/>
      <c r="Z301" s="740"/>
      <c r="AA301" s="740"/>
      <c r="AB301" s="740"/>
      <c r="AC301" s="740"/>
      <c r="AD301" s="740"/>
      <c r="AE301" s="740"/>
      <c r="AF301" s="740"/>
      <c r="AG301" s="740"/>
      <c r="AH301" s="740"/>
      <c r="AI301" s="740"/>
      <c r="AJ301" s="740"/>
      <c r="AK301" s="740"/>
      <c r="AL301" s="740"/>
      <c r="AM301" s="740"/>
      <c r="AN301" s="740"/>
      <c r="AO301" s="740"/>
      <c r="AP301" s="740"/>
      <c r="AQ301" s="740"/>
      <c r="AR301" s="740"/>
      <c r="AS301" s="740"/>
      <c r="AT301" s="740"/>
      <c r="AU301" s="740"/>
      <c r="AV301" s="740"/>
      <c r="AW301" s="740"/>
      <c r="AX301" s="740"/>
      <c r="AY301" s="740"/>
      <c r="AZ301" s="740"/>
      <c r="BA301" s="740"/>
      <c r="BB301" s="740"/>
      <c r="BC301" s="740"/>
      <c r="BD301" s="740"/>
      <c r="BE301" s="740"/>
      <c r="BF301" s="740"/>
      <c r="BG301" s="740"/>
      <c r="BH301" s="740"/>
      <c r="BI301" s="740"/>
      <c r="BJ301" s="740"/>
      <c r="BK301" s="740"/>
      <c r="BL301" s="740"/>
      <c r="BM301" s="740"/>
      <c r="BN301" s="740"/>
      <c r="BO301" s="740"/>
      <c r="BP301" s="740"/>
      <c r="BQ301" s="740"/>
      <c r="BR301" s="740"/>
      <c r="BS301" s="740"/>
      <c r="BT301" s="740"/>
      <c r="BU301" s="740"/>
      <c r="BV301" s="740"/>
      <c r="BW301" s="740"/>
      <c r="BX301" s="740"/>
      <c r="BY301" s="740"/>
      <c r="BZ301" s="740"/>
      <c r="CA301" s="740"/>
      <c r="CB301" s="740"/>
      <c r="CC301" s="740"/>
      <c r="CD301" s="740"/>
      <c r="CE301" s="740"/>
      <c r="CF301" s="740"/>
      <c r="CG301" s="740"/>
      <c r="CH301" s="740"/>
      <c r="CI301" s="740"/>
      <c r="CJ301" s="740"/>
      <c r="CK301" s="740"/>
      <c r="CL301" s="740"/>
      <c r="CM301" s="740"/>
      <c r="CN301" s="740"/>
      <c r="CO301" s="740"/>
      <c r="CP301" s="740"/>
      <c r="CQ301" s="740"/>
      <c r="CR301" s="740"/>
      <c r="CS301" s="740"/>
      <c r="CT301" s="740"/>
      <c r="CU301" s="740"/>
      <c r="CV301" s="740"/>
      <c r="CW301" s="740"/>
      <c r="CX301" s="740"/>
      <c r="CY301" s="740"/>
      <c r="CZ301" s="740"/>
      <c r="DA301" s="740"/>
      <c r="DB301" s="740"/>
      <c r="DC301" s="740"/>
      <c r="DD301" s="740"/>
      <c r="DE301" s="740"/>
      <c r="DF301" s="740"/>
      <c r="DG301" s="740"/>
      <c r="DH301" s="740"/>
      <c r="DI301" s="740"/>
      <c r="DJ301" s="740"/>
      <c r="DK301" s="740"/>
      <c r="DL301" s="740"/>
      <c r="DM301" s="740"/>
      <c r="DN301" s="740"/>
      <c r="DO301" s="740"/>
      <c r="DP301" s="740"/>
      <c r="DQ301" s="740"/>
      <c r="DR301" s="740"/>
      <c r="DS301" s="740"/>
      <c r="DT301" s="740"/>
      <c r="DU301" s="740"/>
      <c r="DV301" s="740"/>
      <c r="DW301" s="740"/>
      <c r="DX301" s="740"/>
      <c r="DY301" s="740"/>
      <c r="DZ301" s="740"/>
      <c r="EA301" s="740"/>
      <c r="EB301" s="740"/>
      <c r="EC301" s="740"/>
      <c r="ED301" s="740"/>
      <c r="EE301" s="740"/>
      <c r="EF301" s="740"/>
      <c r="EG301" s="740"/>
      <c r="EH301" s="740"/>
      <c r="EI301" s="740"/>
      <c r="EJ301" s="740"/>
      <c r="EK301" s="740"/>
      <c r="EL301" s="740"/>
      <c r="EM301" s="740"/>
      <c r="EN301" s="740"/>
      <c r="EO301" s="740"/>
      <c r="EP301" s="740"/>
      <c r="EQ301" s="740"/>
      <c r="ER301" s="740"/>
      <c r="ES301" s="740"/>
      <c r="ET301" s="740"/>
      <c r="EU301" s="740"/>
      <c r="EV301" s="740"/>
      <c r="EW301" s="740"/>
      <c r="EX301" s="740"/>
      <c r="EY301" s="740"/>
      <c r="EZ301" s="740"/>
      <c r="FA301" s="740"/>
      <c r="FB301" s="740"/>
      <c r="FC301" s="740"/>
      <c r="FD301" s="740"/>
      <c r="FE301" s="740"/>
      <c r="FF301" s="740"/>
      <c r="FG301" s="740"/>
      <c r="FH301" s="740"/>
      <c r="FI301" s="740"/>
      <c r="FJ301" s="740"/>
      <c r="FK301" s="740"/>
      <c r="FL301" s="740"/>
      <c r="FM301" s="740"/>
      <c r="FN301" s="740"/>
      <c r="FO301" s="740"/>
      <c r="FP301" s="740"/>
      <c r="FQ301" s="740"/>
      <c r="FR301" s="740"/>
      <c r="FS301" s="740"/>
      <c r="FT301" s="740"/>
      <c r="FU301" s="740"/>
      <c r="FV301" s="740"/>
      <c r="FW301" s="740"/>
      <c r="FX301" s="740"/>
      <c r="FY301" s="740"/>
      <c r="FZ301" s="740"/>
      <c r="GA301" s="740"/>
      <c r="GB301" s="740"/>
      <c r="GC301" s="740"/>
      <c r="GD301" s="740"/>
      <c r="GE301" s="740"/>
      <c r="GF301" s="740"/>
      <c r="GG301" s="740"/>
      <c r="GH301" s="740"/>
      <c r="GI301" s="740"/>
      <c r="GJ301" s="740"/>
      <c r="GK301" s="740"/>
      <c r="GL301" s="740"/>
      <c r="GM301" s="740"/>
      <c r="GN301" s="740"/>
      <c r="GO301" s="740"/>
      <c r="GP301" s="740"/>
      <c r="GQ301" s="740"/>
      <c r="GR301" s="740"/>
      <c r="GS301" s="740"/>
      <c r="GT301" s="740"/>
      <c r="GU301" s="740"/>
      <c r="GV301" s="740"/>
      <c r="GW301" s="740"/>
    </row>
    <row r="302" spans="18:205" ht="24" customHeight="1" x14ac:dyDescent="0.2">
      <c r="R302" s="740"/>
      <c r="S302" s="740"/>
      <c r="T302" s="740"/>
      <c r="U302" s="740"/>
      <c r="V302" s="740"/>
      <c r="W302" s="740"/>
      <c r="X302" s="740"/>
      <c r="Y302" s="740"/>
      <c r="Z302" s="740"/>
      <c r="AA302" s="740"/>
      <c r="AB302" s="740"/>
      <c r="AC302" s="740"/>
      <c r="AD302" s="740"/>
      <c r="AE302" s="740"/>
      <c r="AF302" s="740"/>
      <c r="AG302" s="740"/>
      <c r="AH302" s="740"/>
      <c r="AI302" s="740"/>
      <c r="AJ302" s="740"/>
      <c r="AK302" s="740"/>
      <c r="AL302" s="740"/>
      <c r="AM302" s="740"/>
      <c r="AN302" s="740"/>
      <c r="AO302" s="740"/>
      <c r="AP302" s="740"/>
      <c r="AQ302" s="740"/>
      <c r="AR302" s="740"/>
      <c r="AS302" s="740"/>
      <c r="AT302" s="740"/>
      <c r="AU302" s="740"/>
      <c r="AV302" s="740"/>
      <c r="AW302" s="740"/>
      <c r="AX302" s="740"/>
      <c r="AY302" s="740"/>
      <c r="AZ302" s="740"/>
      <c r="BA302" s="740"/>
      <c r="BB302" s="740"/>
      <c r="BC302" s="740"/>
      <c r="BD302" s="740"/>
      <c r="BE302" s="740"/>
      <c r="BF302" s="740"/>
      <c r="BG302" s="740"/>
      <c r="BH302" s="740"/>
      <c r="BI302" s="740"/>
      <c r="BJ302" s="740"/>
      <c r="BK302" s="740"/>
      <c r="BL302" s="740"/>
      <c r="BM302" s="740"/>
      <c r="BN302" s="740"/>
      <c r="BO302" s="740"/>
      <c r="BP302" s="740"/>
      <c r="BQ302" s="740"/>
      <c r="BR302" s="740"/>
      <c r="BS302" s="740"/>
      <c r="BT302" s="740"/>
      <c r="BU302" s="740"/>
      <c r="BV302" s="740"/>
      <c r="BW302" s="740"/>
      <c r="BX302" s="740"/>
      <c r="BY302" s="740"/>
      <c r="BZ302" s="740"/>
      <c r="CA302" s="740"/>
      <c r="CB302" s="740"/>
      <c r="CC302" s="740"/>
      <c r="CD302" s="740"/>
      <c r="CE302" s="740"/>
      <c r="CF302" s="740"/>
      <c r="CG302" s="740"/>
      <c r="CH302" s="740"/>
      <c r="CI302" s="740"/>
      <c r="CJ302" s="740"/>
      <c r="CK302" s="740"/>
      <c r="CL302" s="740"/>
      <c r="CM302" s="740"/>
      <c r="CN302" s="740"/>
      <c r="CO302" s="740"/>
      <c r="CP302" s="740"/>
      <c r="CQ302" s="740"/>
      <c r="CR302" s="740"/>
      <c r="CS302" s="740"/>
      <c r="CT302" s="740"/>
      <c r="CU302" s="740"/>
      <c r="CV302" s="740"/>
      <c r="CW302" s="740"/>
      <c r="CX302" s="740"/>
      <c r="CY302" s="740"/>
      <c r="CZ302" s="740"/>
      <c r="DA302" s="740"/>
      <c r="DB302" s="740"/>
      <c r="DC302" s="740"/>
      <c r="DD302" s="740"/>
      <c r="DE302" s="740"/>
      <c r="DF302" s="740"/>
      <c r="DG302" s="740"/>
      <c r="DH302" s="740"/>
      <c r="DI302" s="740"/>
      <c r="DJ302" s="740"/>
      <c r="DK302" s="740"/>
      <c r="DL302" s="740"/>
      <c r="DM302" s="740"/>
      <c r="DN302" s="740"/>
      <c r="DO302" s="740"/>
      <c r="DP302" s="740"/>
      <c r="DQ302" s="740"/>
      <c r="DR302" s="740"/>
      <c r="DS302" s="740"/>
      <c r="DT302" s="740"/>
      <c r="DU302" s="740"/>
      <c r="DV302" s="740"/>
      <c r="DW302" s="740"/>
      <c r="DX302" s="740"/>
      <c r="DY302" s="740"/>
      <c r="DZ302" s="740"/>
      <c r="EA302" s="740"/>
      <c r="EB302" s="740"/>
      <c r="EC302" s="740"/>
      <c r="ED302" s="740"/>
      <c r="EE302" s="740"/>
      <c r="EF302" s="740"/>
      <c r="EG302" s="740"/>
      <c r="EH302" s="740"/>
      <c r="EI302" s="740"/>
      <c r="EJ302" s="740"/>
      <c r="EK302" s="740"/>
      <c r="EL302" s="740"/>
      <c r="EM302" s="740"/>
      <c r="EN302" s="740"/>
      <c r="EO302" s="740"/>
      <c r="EP302" s="740"/>
      <c r="EQ302" s="740"/>
      <c r="ER302" s="740"/>
      <c r="ES302" s="740"/>
      <c r="ET302" s="740"/>
      <c r="EU302" s="740"/>
      <c r="EV302" s="740"/>
      <c r="EW302" s="740"/>
      <c r="EX302" s="740"/>
      <c r="EY302" s="740"/>
      <c r="EZ302" s="740"/>
      <c r="FA302" s="740"/>
      <c r="FB302" s="740"/>
      <c r="FC302" s="740"/>
      <c r="FD302" s="740"/>
      <c r="FE302" s="740"/>
      <c r="FF302" s="740"/>
      <c r="FG302" s="740"/>
      <c r="FH302" s="740"/>
      <c r="FI302" s="740"/>
      <c r="FJ302" s="740"/>
      <c r="FK302" s="740"/>
      <c r="FL302" s="740"/>
      <c r="FM302" s="740"/>
      <c r="FN302" s="740"/>
      <c r="FO302" s="740"/>
      <c r="FP302" s="740"/>
      <c r="FQ302" s="740"/>
      <c r="FR302" s="740"/>
      <c r="FS302" s="740"/>
      <c r="FT302" s="740"/>
      <c r="FU302" s="740"/>
      <c r="FV302" s="740"/>
      <c r="FW302" s="740"/>
      <c r="FX302" s="740"/>
      <c r="FY302" s="740"/>
      <c r="FZ302" s="740"/>
      <c r="GA302" s="740"/>
      <c r="GB302" s="740"/>
      <c r="GC302" s="740"/>
      <c r="GD302" s="740"/>
      <c r="GE302" s="740"/>
      <c r="GF302" s="740"/>
      <c r="GG302" s="740"/>
      <c r="GH302" s="740"/>
      <c r="GI302" s="740"/>
      <c r="GJ302" s="740"/>
      <c r="GK302" s="740"/>
      <c r="GL302" s="740"/>
      <c r="GM302" s="740"/>
      <c r="GN302" s="740"/>
      <c r="GO302" s="740"/>
      <c r="GP302" s="740"/>
      <c r="GQ302" s="740"/>
      <c r="GR302" s="740"/>
      <c r="GS302" s="740"/>
      <c r="GT302" s="740"/>
      <c r="GU302" s="740"/>
      <c r="GV302" s="740"/>
      <c r="GW302" s="740"/>
    </row>
    <row r="303" spans="18:205" ht="24" customHeight="1" x14ac:dyDescent="0.2">
      <c r="R303" s="740"/>
      <c r="S303" s="740"/>
      <c r="T303" s="740"/>
      <c r="U303" s="740"/>
      <c r="V303" s="740"/>
      <c r="W303" s="740"/>
      <c r="X303" s="740"/>
      <c r="Y303" s="740"/>
      <c r="Z303" s="740"/>
      <c r="AA303" s="740"/>
      <c r="AB303" s="740"/>
      <c r="AC303" s="740"/>
      <c r="AD303" s="740"/>
      <c r="AE303" s="740"/>
      <c r="AF303" s="740"/>
      <c r="AG303" s="740"/>
      <c r="AH303" s="740"/>
      <c r="AI303" s="740"/>
      <c r="AJ303" s="740"/>
      <c r="AK303" s="740"/>
      <c r="AL303" s="740"/>
      <c r="AM303" s="740"/>
      <c r="AN303" s="740"/>
      <c r="AO303" s="740"/>
      <c r="AP303" s="740"/>
      <c r="AQ303" s="740"/>
      <c r="AR303" s="740"/>
      <c r="AS303" s="740"/>
      <c r="AT303" s="740"/>
      <c r="AU303" s="740"/>
      <c r="AV303" s="740"/>
      <c r="AW303" s="740"/>
      <c r="AX303" s="740"/>
      <c r="AY303" s="740"/>
      <c r="AZ303" s="740"/>
      <c r="BA303" s="740"/>
      <c r="BB303" s="740"/>
      <c r="BC303" s="740"/>
      <c r="BD303" s="740"/>
      <c r="BE303" s="740"/>
      <c r="BF303" s="740"/>
      <c r="BG303" s="740"/>
      <c r="BH303" s="740"/>
      <c r="BI303" s="740"/>
      <c r="BJ303" s="740"/>
      <c r="BK303" s="740"/>
      <c r="BL303" s="740"/>
      <c r="BM303" s="740"/>
      <c r="BN303" s="740"/>
      <c r="BO303" s="740"/>
      <c r="BP303" s="740"/>
      <c r="BQ303" s="740"/>
      <c r="BR303" s="740"/>
      <c r="BS303" s="740"/>
      <c r="BT303" s="740"/>
      <c r="BU303" s="740"/>
      <c r="BV303" s="740"/>
      <c r="BW303" s="740"/>
      <c r="BX303" s="740"/>
      <c r="BY303" s="740"/>
      <c r="BZ303" s="740"/>
      <c r="CA303" s="740"/>
      <c r="CB303" s="740"/>
      <c r="CC303" s="740"/>
      <c r="CD303" s="740"/>
      <c r="CE303" s="740"/>
      <c r="CF303" s="740"/>
      <c r="CG303" s="740"/>
      <c r="CH303" s="740"/>
      <c r="CI303" s="740"/>
      <c r="CJ303" s="740"/>
      <c r="CK303" s="740"/>
      <c r="CL303" s="740"/>
      <c r="CM303" s="740"/>
      <c r="CN303" s="740"/>
      <c r="CO303" s="740"/>
      <c r="CP303" s="740"/>
      <c r="CQ303" s="740"/>
      <c r="CR303" s="740"/>
      <c r="CS303" s="740"/>
      <c r="CT303" s="740"/>
      <c r="CU303" s="740"/>
      <c r="CV303" s="740"/>
      <c r="CW303" s="740"/>
      <c r="CX303" s="740"/>
      <c r="CY303" s="740"/>
      <c r="CZ303" s="740"/>
      <c r="DA303" s="740"/>
      <c r="DB303" s="740"/>
      <c r="DC303" s="740"/>
      <c r="DD303" s="740"/>
      <c r="DE303" s="740"/>
      <c r="DF303" s="740"/>
      <c r="DG303" s="740"/>
      <c r="DH303" s="740"/>
      <c r="DI303" s="740"/>
      <c r="DJ303" s="740"/>
      <c r="DK303" s="740"/>
      <c r="DL303" s="740"/>
      <c r="DM303" s="740"/>
      <c r="DN303" s="740"/>
      <c r="DO303" s="740"/>
      <c r="DP303" s="740"/>
      <c r="DQ303" s="740"/>
      <c r="DR303" s="740"/>
      <c r="DS303" s="740"/>
      <c r="DT303" s="740"/>
      <c r="DU303" s="740"/>
      <c r="DV303" s="740"/>
      <c r="DW303" s="740"/>
      <c r="DX303" s="740"/>
      <c r="DY303" s="740"/>
      <c r="DZ303" s="740"/>
      <c r="EA303" s="740"/>
      <c r="EB303" s="740"/>
      <c r="EC303" s="740"/>
      <c r="ED303" s="740"/>
      <c r="EE303" s="740"/>
      <c r="EF303" s="740"/>
      <c r="EG303" s="740"/>
      <c r="EH303" s="740"/>
      <c r="EI303" s="740"/>
      <c r="EJ303" s="740"/>
      <c r="EK303" s="740"/>
      <c r="EL303" s="740"/>
      <c r="EM303" s="740"/>
      <c r="EN303" s="740"/>
      <c r="EO303" s="740"/>
      <c r="EP303" s="740"/>
      <c r="EQ303" s="740"/>
      <c r="ER303" s="740"/>
      <c r="ES303" s="740"/>
      <c r="ET303" s="740"/>
      <c r="EU303" s="740"/>
      <c r="EV303" s="740"/>
      <c r="EW303" s="740"/>
      <c r="EX303" s="740"/>
      <c r="EY303" s="740"/>
      <c r="EZ303" s="740"/>
      <c r="FA303" s="740"/>
      <c r="FB303" s="740"/>
      <c r="FC303" s="740"/>
      <c r="FD303" s="740"/>
      <c r="FE303" s="740"/>
      <c r="FF303" s="740"/>
      <c r="FG303" s="740"/>
      <c r="FH303" s="740"/>
      <c r="FI303" s="740"/>
      <c r="FJ303" s="740"/>
      <c r="FK303" s="740"/>
      <c r="FL303" s="740"/>
      <c r="FM303" s="740"/>
      <c r="FN303" s="740"/>
      <c r="FO303" s="740"/>
      <c r="FP303" s="740"/>
      <c r="FQ303" s="740"/>
      <c r="FR303" s="740"/>
      <c r="FS303" s="740"/>
      <c r="FT303" s="740"/>
      <c r="FU303" s="740"/>
      <c r="FV303" s="740"/>
      <c r="FW303" s="740"/>
      <c r="FX303" s="740"/>
      <c r="FY303" s="740"/>
      <c r="FZ303" s="740"/>
      <c r="GA303" s="740"/>
      <c r="GB303" s="740"/>
      <c r="GC303" s="740"/>
      <c r="GD303" s="740"/>
      <c r="GE303" s="740"/>
      <c r="GF303" s="740"/>
      <c r="GG303" s="740"/>
      <c r="GH303" s="740"/>
      <c r="GI303" s="740"/>
      <c r="GJ303" s="740"/>
      <c r="GK303" s="740"/>
      <c r="GL303" s="740"/>
      <c r="GM303" s="740"/>
      <c r="GN303" s="740"/>
      <c r="GO303" s="740"/>
      <c r="GP303" s="740"/>
      <c r="GQ303" s="740"/>
      <c r="GR303" s="740"/>
      <c r="GS303" s="740"/>
      <c r="GT303" s="740"/>
      <c r="GU303" s="740"/>
      <c r="GV303" s="740"/>
      <c r="GW303" s="740"/>
    </row>
    <row r="304" spans="18:205" ht="24" customHeight="1" x14ac:dyDescent="0.2">
      <c r="R304" s="740"/>
      <c r="S304" s="740"/>
      <c r="T304" s="740"/>
      <c r="U304" s="740"/>
      <c r="V304" s="740"/>
      <c r="W304" s="740"/>
      <c r="X304" s="740"/>
      <c r="Y304" s="740"/>
      <c r="Z304" s="740"/>
      <c r="AA304" s="740"/>
      <c r="AB304" s="740"/>
      <c r="AC304" s="740"/>
      <c r="AD304" s="740"/>
      <c r="AE304" s="740"/>
      <c r="AF304" s="740"/>
      <c r="AG304" s="740"/>
      <c r="AH304" s="740"/>
      <c r="AI304" s="740"/>
      <c r="AJ304" s="740"/>
      <c r="AK304" s="740"/>
      <c r="AL304" s="740"/>
      <c r="AM304" s="740"/>
      <c r="AN304" s="740"/>
      <c r="AO304" s="740"/>
      <c r="AP304" s="740"/>
      <c r="AQ304" s="740"/>
      <c r="AR304" s="740"/>
      <c r="AS304" s="740"/>
      <c r="AT304" s="740"/>
      <c r="AU304" s="740"/>
      <c r="AV304" s="740"/>
      <c r="AW304" s="740"/>
      <c r="AX304" s="740"/>
      <c r="AY304" s="740"/>
      <c r="AZ304" s="740"/>
      <c r="BA304" s="740"/>
      <c r="BB304" s="740"/>
      <c r="BC304" s="740"/>
      <c r="BD304" s="740"/>
      <c r="BE304" s="740"/>
      <c r="BF304" s="740"/>
      <c r="BG304" s="740"/>
      <c r="BH304" s="740"/>
      <c r="BI304" s="740"/>
      <c r="BJ304" s="740"/>
      <c r="BK304" s="740"/>
      <c r="BL304" s="740"/>
      <c r="BM304" s="740"/>
      <c r="BN304" s="740"/>
      <c r="BO304" s="740"/>
      <c r="BP304" s="740"/>
      <c r="BQ304" s="740"/>
      <c r="BR304" s="740"/>
      <c r="BS304" s="740"/>
      <c r="BT304" s="740"/>
      <c r="BU304" s="740"/>
      <c r="BV304" s="740"/>
      <c r="BW304" s="740"/>
      <c r="BX304" s="740"/>
      <c r="BY304" s="740"/>
      <c r="BZ304" s="740"/>
      <c r="CA304" s="740"/>
      <c r="CB304" s="740"/>
      <c r="CC304" s="740"/>
      <c r="CD304" s="740"/>
      <c r="CE304" s="740"/>
      <c r="CF304" s="740"/>
      <c r="CG304" s="740"/>
      <c r="CH304" s="740"/>
      <c r="CI304" s="740"/>
      <c r="CJ304" s="740"/>
      <c r="CK304" s="740"/>
      <c r="CL304" s="740"/>
      <c r="CM304" s="740"/>
      <c r="CN304" s="740"/>
      <c r="CO304" s="740"/>
      <c r="CP304" s="740"/>
      <c r="CQ304" s="740"/>
      <c r="CR304" s="740"/>
      <c r="CS304" s="740"/>
      <c r="CT304" s="740"/>
      <c r="CU304" s="740"/>
      <c r="CV304" s="740"/>
      <c r="CW304" s="740"/>
      <c r="CX304" s="740"/>
      <c r="CY304" s="740"/>
      <c r="CZ304" s="740"/>
      <c r="DA304" s="740"/>
      <c r="DB304" s="740"/>
      <c r="DC304" s="740"/>
      <c r="DD304" s="740"/>
      <c r="DE304" s="740"/>
      <c r="DF304" s="740"/>
      <c r="DG304" s="740"/>
      <c r="DH304" s="740"/>
      <c r="DI304" s="740"/>
      <c r="DJ304" s="740"/>
      <c r="DK304" s="740"/>
      <c r="DL304" s="740"/>
      <c r="DM304" s="740"/>
      <c r="DN304" s="740"/>
      <c r="DO304" s="740"/>
      <c r="DP304" s="740"/>
      <c r="DQ304" s="740"/>
      <c r="DR304" s="740"/>
      <c r="DS304" s="740"/>
      <c r="DT304" s="740"/>
      <c r="DU304" s="740"/>
      <c r="DV304" s="740"/>
      <c r="DW304" s="740"/>
      <c r="DX304" s="740"/>
      <c r="DY304" s="740"/>
      <c r="DZ304" s="740"/>
      <c r="EA304" s="740"/>
      <c r="EB304" s="740"/>
      <c r="EC304" s="740"/>
      <c r="ED304" s="740"/>
      <c r="EE304" s="740"/>
      <c r="EF304" s="740"/>
      <c r="EG304" s="740"/>
      <c r="EH304" s="740"/>
      <c r="EI304" s="740"/>
      <c r="EJ304" s="740"/>
      <c r="EK304" s="740"/>
      <c r="EL304" s="740"/>
      <c r="EM304" s="740"/>
      <c r="EN304" s="740"/>
      <c r="EO304" s="740"/>
      <c r="EP304" s="740"/>
      <c r="EQ304" s="740"/>
      <c r="ER304" s="740"/>
      <c r="ES304" s="740"/>
      <c r="ET304" s="740"/>
      <c r="EU304" s="740"/>
      <c r="EV304" s="740"/>
      <c r="EW304" s="740"/>
      <c r="EX304" s="740"/>
      <c r="EY304" s="740"/>
      <c r="EZ304" s="740"/>
      <c r="FA304" s="740"/>
      <c r="FB304" s="740"/>
      <c r="FC304" s="740"/>
      <c r="FD304" s="740"/>
      <c r="FE304" s="740"/>
      <c r="FF304" s="740"/>
      <c r="FG304" s="740"/>
      <c r="FH304" s="740"/>
      <c r="FI304" s="740"/>
      <c r="FJ304" s="740"/>
      <c r="FK304" s="740"/>
      <c r="FL304" s="740"/>
      <c r="FM304" s="740"/>
      <c r="FN304" s="740"/>
      <c r="FO304" s="740"/>
      <c r="FP304" s="740"/>
      <c r="FQ304" s="740"/>
      <c r="FR304" s="740"/>
      <c r="FS304" s="740"/>
      <c r="FT304" s="740"/>
      <c r="FU304" s="740"/>
      <c r="FV304" s="740"/>
      <c r="FW304" s="740"/>
      <c r="FX304" s="740"/>
      <c r="FY304" s="740"/>
      <c r="FZ304" s="740"/>
      <c r="GA304" s="740"/>
      <c r="GB304" s="740"/>
      <c r="GC304" s="740"/>
      <c r="GD304" s="740"/>
      <c r="GE304" s="740"/>
      <c r="GF304" s="740"/>
      <c r="GG304" s="740"/>
      <c r="GH304" s="740"/>
      <c r="GI304" s="740"/>
      <c r="GJ304" s="740"/>
      <c r="GK304" s="740"/>
      <c r="GL304" s="740"/>
      <c r="GM304" s="740"/>
      <c r="GN304" s="740"/>
      <c r="GO304" s="740"/>
      <c r="GP304" s="740"/>
      <c r="GQ304" s="740"/>
      <c r="GR304" s="740"/>
      <c r="GS304" s="740"/>
      <c r="GT304" s="740"/>
      <c r="GU304" s="740"/>
      <c r="GV304" s="740"/>
      <c r="GW304" s="740"/>
    </row>
    <row r="305" spans="18:205" ht="24" customHeight="1" x14ac:dyDescent="0.2">
      <c r="R305" s="740"/>
      <c r="S305" s="740"/>
      <c r="T305" s="740"/>
      <c r="U305" s="740"/>
      <c r="V305" s="740"/>
      <c r="W305" s="740"/>
      <c r="X305" s="740"/>
      <c r="Y305" s="740"/>
      <c r="Z305" s="740"/>
      <c r="AA305" s="740"/>
      <c r="AB305" s="740"/>
      <c r="AC305" s="740"/>
      <c r="AD305" s="740"/>
      <c r="AE305" s="740"/>
      <c r="AF305" s="740"/>
      <c r="AG305" s="740"/>
      <c r="AH305" s="740"/>
      <c r="AI305" s="740"/>
      <c r="AJ305" s="740"/>
      <c r="AK305" s="740"/>
      <c r="AL305" s="740"/>
      <c r="AM305" s="740"/>
      <c r="AN305" s="740"/>
      <c r="AO305" s="740"/>
      <c r="AP305" s="740"/>
      <c r="AQ305" s="740"/>
      <c r="AR305" s="740"/>
      <c r="AS305" s="740"/>
      <c r="AT305" s="740"/>
      <c r="AU305" s="740"/>
      <c r="AV305" s="740"/>
      <c r="AW305" s="740"/>
      <c r="AX305" s="740"/>
      <c r="AY305" s="740"/>
      <c r="AZ305" s="740"/>
      <c r="BA305" s="740"/>
      <c r="BB305" s="740"/>
      <c r="BC305" s="740"/>
      <c r="BD305" s="740"/>
      <c r="BE305" s="740"/>
      <c r="BF305" s="740"/>
      <c r="BG305" s="740"/>
      <c r="BH305" s="740"/>
      <c r="BI305" s="740"/>
      <c r="BJ305" s="740"/>
      <c r="BK305" s="740"/>
      <c r="BL305" s="740"/>
      <c r="BM305" s="740"/>
      <c r="BN305" s="740"/>
      <c r="BO305" s="740"/>
      <c r="BP305" s="740"/>
      <c r="BQ305" s="740"/>
      <c r="BR305" s="740"/>
      <c r="BS305" s="740"/>
      <c r="BT305" s="740"/>
      <c r="BU305" s="740"/>
      <c r="BV305" s="740"/>
      <c r="BW305" s="740"/>
      <c r="BX305" s="740"/>
      <c r="BY305" s="740"/>
      <c r="BZ305" s="740"/>
      <c r="CA305" s="740"/>
      <c r="CB305" s="740"/>
      <c r="CC305" s="740"/>
      <c r="CD305" s="740"/>
      <c r="CE305" s="740"/>
      <c r="CF305" s="740"/>
      <c r="CG305" s="740"/>
      <c r="CH305" s="740"/>
      <c r="CI305" s="740"/>
      <c r="CJ305" s="740"/>
      <c r="CK305" s="740"/>
      <c r="CL305" s="740"/>
      <c r="CM305" s="740"/>
      <c r="CN305" s="740"/>
      <c r="CO305" s="740"/>
      <c r="CP305" s="740"/>
      <c r="CQ305" s="740"/>
      <c r="CR305" s="740"/>
      <c r="CS305" s="740"/>
      <c r="CT305" s="740"/>
      <c r="CU305" s="740"/>
      <c r="CV305" s="740"/>
      <c r="CW305" s="740"/>
      <c r="CX305" s="740"/>
      <c r="CY305" s="740"/>
      <c r="CZ305" s="740"/>
      <c r="DA305" s="740"/>
      <c r="DB305" s="740"/>
      <c r="DC305" s="740"/>
      <c r="DD305" s="740"/>
      <c r="DE305" s="740"/>
      <c r="DF305" s="740"/>
      <c r="DG305" s="740"/>
      <c r="DH305" s="740"/>
      <c r="DI305" s="740"/>
      <c r="DJ305" s="740"/>
      <c r="DK305" s="740"/>
      <c r="DL305" s="740"/>
      <c r="DM305" s="740"/>
      <c r="DN305" s="740"/>
      <c r="DO305" s="740"/>
      <c r="DP305" s="740"/>
      <c r="DQ305" s="740"/>
      <c r="DR305" s="740"/>
      <c r="DS305" s="740"/>
      <c r="DT305" s="740"/>
      <c r="DU305" s="740"/>
      <c r="DV305" s="740"/>
      <c r="DW305" s="740"/>
      <c r="DX305" s="740"/>
      <c r="DY305" s="740"/>
      <c r="DZ305" s="740"/>
      <c r="EA305" s="740"/>
      <c r="EB305" s="740"/>
      <c r="EC305" s="740"/>
      <c r="ED305" s="740"/>
      <c r="EE305" s="740"/>
      <c r="EF305" s="740"/>
      <c r="EG305" s="740"/>
      <c r="EH305" s="740"/>
      <c r="EI305" s="740"/>
      <c r="EJ305" s="740"/>
      <c r="EK305" s="740"/>
      <c r="EL305" s="740"/>
      <c r="EM305" s="740"/>
      <c r="EN305" s="740"/>
      <c r="EO305" s="740"/>
      <c r="EP305" s="740"/>
      <c r="EQ305" s="740"/>
      <c r="ER305" s="740"/>
      <c r="ES305" s="740"/>
      <c r="ET305" s="740"/>
      <c r="EU305" s="740"/>
      <c r="EV305" s="740"/>
      <c r="EW305" s="740"/>
      <c r="EX305" s="740"/>
      <c r="EY305" s="740"/>
      <c r="EZ305" s="740"/>
      <c r="FA305" s="740"/>
      <c r="FB305" s="740"/>
      <c r="FC305" s="740"/>
      <c r="FD305" s="740"/>
      <c r="FE305" s="740"/>
      <c r="FF305" s="740"/>
      <c r="FG305" s="740"/>
      <c r="FH305" s="740"/>
      <c r="FI305" s="740"/>
      <c r="FJ305" s="740"/>
      <c r="FK305" s="740"/>
      <c r="FL305" s="740"/>
      <c r="FM305" s="740"/>
      <c r="FN305" s="740"/>
      <c r="FO305" s="740"/>
      <c r="FP305" s="740"/>
      <c r="FQ305" s="740"/>
      <c r="FR305" s="740"/>
      <c r="FS305" s="740"/>
      <c r="FT305" s="740"/>
      <c r="FU305" s="740"/>
      <c r="FV305" s="740"/>
      <c r="FW305" s="740"/>
      <c r="FX305" s="740"/>
      <c r="FY305" s="740"/>
      <c r="FZ305" s="740"/>
      <c r="GA305" s="740"/>
      <c r="GB305" s="740"/>
      <c r="GC305" s="740"/>
      <c r="GD305" s="740"/>
      <c r="GE305" s="740"/>
      <c r="GF305" s="740"/>
      <c r="GG305" s="740"/>
      <c r="GH305" s="740"/>
      <c r="GI305" s="740"/>
      <c r="GJ305" s="740"/>
      <c r="GK305" s="740"/>
      <c r="GL305" s="740"/>
      <c r="GM305" s="740"/>
      <c r="GN305" s="740"/>
      <c r="GO305" s="740"/>
      <c r="GP305" s="740"/>
      <c r="GQ305" s="740"/>
      <c r="GR305" s="740"/>
      <c r="GS305" s="740"/>
      <c r="GT305" s="740"/>
      <c r="GU305" s="740"/>
      <c r="GV305" s="740"/>
      <c r="GW305" s="740"/>
    </row>
    <row r="306" spans="18:205" ht="24" customHeight="1" x14ac:dyDescent="0.2">
      <c r="R306" s="740"/>
      <c r="S306" s="740"/>
      <c r="T306" s="740"/>
      <c r="U306" s="740"/>
      <c r="V306" s="740"/>
      <c r="W306" s="740"/>
      <c r="X306" s="740"/>
      <c r="Y306" s="740"/>
      <c r="Z306" s="740"/>
      <c r="AA306" s="740"/>
      <c r="AB306" s="740"/>
      <c r="AC306" s="740"/>
      <c r="AD306" s="740"/>
      <c r="AE306" s="740"/>
      <c r="AF306" s="740"/>
      <c r="AG306" s="740"/>
      <c r="AH306" s="740"/>
      <c r="AI306" s="740"/>
      <c r="AJ306" s="740"/>
      <c r="AK306" s="740"/>
      <c r="AL306" s="740"/>
      <c r="AM306" s="740"/>
      <c r="AN306" s="740"/>
      <c r="AO306" s="740"/>
      <c r="AP306" s="740"/>
      <c r="AQ306" s="740"/>
      <c r="AR306" s="740"/>
      <c r="AS306" s="740"/>
      <c r="AT306" s="740"/>
      <c r="AU306" s="740"/>
      <c r="AV306" s="740"/>
      <c r="AW306" s="740"/>
      <c r="AX306" s="740"/>
      <c r="AY306" s="740"/>
      <c r="AZ306" s="740"/>
      <c r="BA306" s="740"/>
      <c r="BB306" s="740"/>
      <c r="BC306" s="740"/>
      <c r="BD306" s="740"/>
      <c r="BE306" s="740"/>
      <c r="BF306" s="740"/>
      <c r="BG306" s="740"/>
      <c r="BH306" s="740"/>
      <c r="BI306" s="740"/>
      <c r="BJ306" s="740"/>
      <c r="BK306" s="740"/>
      <c r="BL306" s="740"/>
      <c r="BM306" s="740"/>
      <c r="BN306" s="740"/>
      <c r="BO306" s="740"/>
      <c r="BP306" s="740"/>
      <c r="BQ306" s="740"/>
      <c r="BR306" s="740"/>
      <c r="BS306" s="740"/>
      <c r="BT306" s="740"/>
      <c r="BU306" s="740"/>
      <c r="BV306" s="740"/>
      <c r="BW306" s="740"/>
      <c r="BX306" s="740"/>
      <c r="BY306" s="740"/>
      <c r="BZ306" s="740"/>
      <c r="CA306" s="740"/>
      <c r="CB306" s="740"/>
      <c r="CC306" s="740"/>
      <c r="CD306" s="740"/>
      <c r="CE306" s="740"/>
      <c r="CF306" s="740"/>
      <c r="CG306" s="740"/>
      <c r="CH306" s="740"/>
      <c r="CI306" s="740"/>
      <c r="CJ306" s="740"/>
      <c r="CK306" s="740"/>
      <c r="CL306" s="740"/>
      <c r="CM306" s="740"/>
      <c r="CN306" s="740"/>
      <c r="CO306" s="740"/>
      <c r="CP306" s="740"/>
      <c r="CQ306" s="740"/>
      <c r="CR306" s="740"/>
      <c r="CS306" s="740"/>
      <c r="CT306" s="740"/>
      <c r="CU306" s="740"/>
      <c r="CV306" s="740"/>
      <c r="CW306" s="740"/>
      <c r="CX306" s="740"/>
      <c r="CY306" s="740"/>
      <c r="CZ306" s="740"/>
      <c r="DA306" s="740"/>
      <c r="DB306" s="740"/>
      <c r="DC306" s="740"/>
      <c r="DD306" s="740"/>
      <c r="DE306" s="740"/>
      <c r="DF306" s="740"/>
      <c r="DG306" s="740"/>
      <c r="DH306" s="740"/>
      <c r="DI306" s="740"/>
      <c r="DJ306" s="740"/>
      <c r="DK306" s="740"/>
      <c r="DL306" s="740"/>
      <c r="DM306" s="740"/>
      <c r="DN306" s="740"/>
      <c r="DO306" s="740"/>
      <c r="DP306" s="740"/>
      <c r="DQ306" s="740"/>
      <c r="DR306" s="740"/>
      <c r="DS306" s="740"/>
      <c r="DT306" s="740"/>
      <c r="DU306" s="740"/>
      <c r="DV306" s="740"/>
      <c r="DW306" s="740"/>
      <c r="DX306" s="740"/>
      <c r="DY306" s="740"/>
      <c r="DZ306" s="740"/>
      <c r="EA306" s="740"/>
      <c r="EB306" s="740"/>
      <c r="EC306" s="740"/>
      <c r="ED306" s="740"/>
      <c r="EE306" s="740"/>
      <c r="EF306" s="740"/>
      <c r="EG306" s="740"/>
      <c r="EH306" s="740"/>
      <c r="EI306" s="740"/>
      <c r="EJ306" s="740"/>
      <c r="EK306" s="740"/>
      <c r="EL306" s="740"/>
      <c r="EM306" s="740"/>
      <c r="EN306" s="740"/>
      <c r="EO306" s="740"/>
      <c r="EP306" s="740"/>
      <c r="EQ306" s="740"/>
      <c r="ER306" s="740"/>
      <c r="ES306" s="740"/>
      <c r="ET306" s="740"/>
      <c r="EU306" s="740"/>
      <c r="EV306" s="740"/>
      <c r="EW306" s="740"/>
      <c r="EX306" s="740"/>
      <c r="EY306" s="740"/>
      <c r="EZ306" s="740"/>
      <c r="FA306" s="740"/>
      <c r="FB306" s="740"/>
      <c r="FC306" s="740"/>
      <c r="FD306" s="740"/>
      <c r="FE306" s="740"/>
      <c r="FF306" s="740"/>
      <c r="FG306" s="740"/>
      <c r="FH306" s="740"/>
      <c r="FI306" s="740"/>
      <c r="FJ306" s="740"/>
      <c r="FK306" s="740"/>
      <c r="FL306" s="740"/>
      <c r="FM306" s="740"/>
      <c r="FN306" s="740"/>
      <c r="FO306" s="740"/>
      <c r="FP306" s="740"/>
      <c r="FQ306" s="740"/>
      <c r="FR306" s="740"/>
      <c r="FS306" s="740"/>
      <c r="FT306" s="740"/>
      <c r="FU306" s="740"/>
      <c r="FV306" s="740"/>
      <c r="FW306" s="740"/>
      <c r="FX306" s="740"/>
      <c r="FY306" s="740"/>
      <c r="FZ306" s="740"/>
      <c r="GA306" s="740"/>
      <c r="GB306" s="740"/>
      <c r="GC306" s="740"/>
      <c r="GD306" s="740"/>
      <c r="GE306" s="740"/>
      <c r="GF306" s="740"/>
      <c r="GG306" s="740"/>
      <c r="GH306" s="740"/>
      <c r="GI306" s="740"/>
      <c r="GJ306" s="740"/>
      <c r="GK306" s="740"/>
      <c r="GL306" s="740"/>
      <c r="GM306" s="740"/>
      <c r="GN306" s="740"/>
      <c r="GO306" s="740"/>
      <c r="GP306" s="740"/>
      <c r="GQ306" s="740"/>
      <c r="GR306" s="740"/>
      <c r="GS306" s="740"/>
      <c r="GT306" s="740"/>
      <c r="GU306" s="740"/>
      <c r="GV306" s="740"/>
      <c r="GW306" s="740"/>
    </row>
    <row r="307" spans="18:205" ht="24" customHeight="1" x14ac:dyDescent="0.2">
      <c r="R307" s="740"/>
      <c r="S307" s="740"/>
      <c r="T307" s="740"/>
      <c r="U307" s="740"/>
      <c r="V307" s="740"/>
      <c r="W307" s="740"/>
      <c r="X307" s="740"/>
      <c r="Y307" s="740"/>
      <c r="Z307" s="740"/>
      <c r="AA307" s="740"/>
      <c r="AB307" s="740"/>
      <c r="AC307" s="740"/>
      <c r="AD307" s="740"/>
      <c r="AE307" s="740"/>
      <c r="AF307" s="740"/>
      <c r="AG307" s="740"/>
      <c r="AH307" s="740"/>
      <c r="AI307" s="740"/>
      <c r="AJ307" s="740"/>
      <c r="AK307" s="740"/>
      <c r="AL307" s="740"/>
      <c r="AM307" s="740"/>
      <c r="AN307" s="740"/>
      <c r="AO307" s="740"/>
      <c r="AP307" s="740"/>
      <c r="AQ307" s="740"/>
      <c r="AR307" s="740"/>
      <c r="AS307" s="740"/>
      <c r="AT307" s="740"/>
      <c r="AU307" s="740"/>
      <c r="AV307" s="740"/>
      <c r="AW307" s="740"/>
      <c r="AX307" s="740"/>
      <c r="AY307" s="740"/>
      <c r="AZ307" s="740"/>
      <c r="BA307" s="740"/>
      <c r="BB307" s="740"/>
      <c r="BC307" s="740"/>
      <c r="BD307" s="740"/>
      <c r="BE307" s="740"/>
      <c r="BF307" s="740"/>
      <c r="BG307" s="740"/>
      <c r="BH307" s="740"/>
      <c r="BI307" s="740"/>
      <c r="BJ307" s="740"/>
      <c r="BK307" s="740"/>
      <c r="BL307" s="740"/>
      <c r="BM307" s="740"/>
      <c r="BN307" s="740"/>
      <c r="BO307" s="740"/>
      <c r="BP307" s="740"/>
      <c r="BQ307" s="740"/>
      <c r="BR307" s="740"/>
      <c r="BS307" s="740"/>
      <c r="BT307" s="740"/>
      <c r="BU307" s="740"/>
      <c r="BV307" s="740"/>
      <c r="BW307" s="740"/>
      <c r="BX307" s="740"/>
      <c r="BY307" s="740"/>
      <c r="BZ307" s="740"/>
      <c r="CA307" s="740"/>
      <c r="CB307" s="740"/>
      <c r="CC307" s="740"/>
      <c r="CD307" s="740"/>
      <c r="CE307" s="740"/>
      <c r="CF307" s="740"/>
      <c r="CG307" s="740"/>
      <c r="CH307" s="740"/>
      <c r="CI307" s="740"/>
      <c r="CJ307" s="740"/>
      <c r="CK307" s="740"/>
      <c r="CL307" s="740"/>
      <c r="CM307" s="740"/>
      <c r="CN307" s="740"/>
      <c r="CO307" s="740"/>
      <c r="CP307" s="740"/>
      <c r="CQ307" s="740"/>
      <c r="CR307" s="740"/>
      <c r="CS307" s="740"/>
      <c r="CT307" s="740"/>
      <c r="CU307" s="740"/>
      <c r="CV307" s="740"/>
      <c r="CW307" s="740"/>
      <c r="CX307" s="740"/>
      <c r="CY307" s="740"/>
      <c r="CZ307" s="740"/>
      <c r="DA307" s="740"/>
      <c r="DB307" s="740"/>
      <c r="DC307" s="740"/>
      <c r="DD307" s="740"/>
      <c r="DE307" s="740"/>
      <c r="DF307" s="740"/>
      <c r="DG307" s="740"/>
      <c r="DH307" s="740"/>
      <c r="DI307" s="740"/>
      <c r="DJ307" s="740"/>
      <c r="DK307" s="740"/>
      <c r="DL307" s="740"/>
      <c r="DM307" s="740"/>
      <c r="DN307" s="740"/>
      <c r="DO307" s="740"/>
      <c r="DP307" s="740"/>
      <c r="DQ307" s="740"/>
      <c r="DR307" s="740"/>
      <c r="DS307" s="740"/>
      <c r="DT307" s="740"/>
      <c r="DU307" s="740"/>
      <c r="DV307" s="740"/>
      <c r="DW307" s="740"/>
      <c r="DX307" s="740"/>
      <c r="DY307" s="740"/>
      <c r="DZ307" s="740"/>
      <c r="EA307" s="740"/>
      <c r="EB307" s="740"/>
      <c r="EC307" s="740"/>
      <c r="ED307" s="740"/>
      <c r="EE307" s="740"/>
      <c r="EF307" s="740"/>
      <c r="EG307" s="740"/>
      <c r="EH307" s="740"/>
      <c r="EI307" s="740"/>
      <c r="EJ307" s="740"/>
      <c r="EK307" s="740"/>
      <c r="EL307" s="740"/>
      <c r="EM307" s="740"/>
      <c r="EN307" s="740"/>
      <c r="EO307" s="740"/>
      <c r="EP307" s="740"/>
      <c r="EQ307" s="740"/>
      <c r="ER307" s="740"/>
      <c r="ES307" s="740"/>
      <c r="ET307" s="740"/>
      <c r="EU307" s="740"/>
      <c r="EV307" s="740"/>
      <c r="EW307" s="740"/>
      <c r="EX307" s="740"/>
      <c r="EY307" s="740"/>
      <c r="EZ307" s="740"/>
      <c r="FA307" s="740"/>
      <c r="FB307" s="740"/>
      <c r="FC307" s="740"/>
      <c r="FD307" s="740"/>
      <c r="FE307" s="740"/>
      <c r="FF307" s="740"/>
      <c r="FG307" s="740"/>
      <c r="FH307" s="740"/>
      <c r="FI307" s="740"/>
      <c r="FJ307" s="740"/>
      <c r="FK307" s="740"/>
      <c r="FL307" s="740"/>
      <c r="FM307" s="740"/>
      <c r="FN307" s="740"/>
      <c r="FO307" s="740"/>
      <c r="FP307" s="740"/>
      <c r="FQ307" s="740"/>
      <c r="FR307" s="740"/>
      <c r="FS307" s="740"/>
      <c r="FT307" s="740"/>
      <c r="FU307" s="740"/>
      <c r="FV307" s="740"/>
      <c r="FW307" s="740"/>
      <c r="FX307" s="740"/>
      <c r="FY307" s="740"/>
      <c r="FZ307" s="740"/>
      <c r="GA307" s="740"/>
      <c r="GB307" s="740"/>
      <c r="GC307" s="740"/>
      <c r="GD307" s="740"/>
      <c r="GE307" s="740"/>
      <c r="GF307" s="740"/>
      <c r="GG307" s="740"/>
      <c r="GH307" s="740"/>
      <c r="GI307" s="740"/>
      <c r="GJ307" s="740"/>
      <c r="GK307" s="740"/>
      <c r="GL307" s="740"/>
      <c r="GM307" s="740"/>
      <c r="GN307" s="740"/>
      <c r="GO307" s="740"/>
      <c r="GP307" s="740"/>
      <c r="GQ307" s="740"/>
      <c r="GR307" s="740"/>
      <c r="GS307" s="740"/>
      <c r="GT307" s="740"/>
      <c r="GU307" s="740"/>
      <c r="GV307" s="740"/>
      <c r="GW307" s="740"/>
    </row>
    <row r="308" spans="18:205" ht="24" customHeight="1" x14ac:dyDescent="0.2">
      <c r="R308" s="740"/>
      <c r="S308" s="740"/>
      <c r="T308" s="740"/>
      <c r="U308" s="740"/>
      <c r="V308" s="740"/>
      <c r="W308" s="740"/>
      <c r="X308" s="740"/>
      <c r="Y308" s="740"/>
      <c r="Z308" s="740"/>
      <c r="AA308" s="740"/>
      <c r="AB308" s="740"/>
      <c r="AC308" s="740"/>
      <c r="AD308" s="740"/>
      <c r="AE308" s="740"/>
      <c r="AF308" s="740"/>
      <c r="AG308" s="740"/>
      <c r="AH308" s="740"/>
      <c r="AI308" s="740"/>
      <c r="AJ308" s="740"/>
      <c r="AK308" s="740"/>
      <c r="AL308" s="740"/>
      <c r="AM308" s="740"/>
      <c r="AN308" s="740"/>
      <c r="AO308" s="740"/>
      <c r="AP308" s="740"/>
      <c r="AQ308" s="740"/>
      <c r="AR308" s="740"/>
      <c r="AS308" s="740"/>
      <c r="AT308" s="740"/>
      <c r="AU308" s="740"/>
      <c r="AV308" s="740"/>
      <c r="AW308" s="740"/>
      <c r="AX308" s="740"/>
      <c r="AY308" s="740"/>
      <c r="AZ308" s="740"/>
      <c r="BA308" s="740"/>
      <c r="BB308" s="740"/>
      <c r="BC308" s="740"/>
      <c r="BD308" s="740"/>
      <c r="BE308" s="740"/>
      <c r="BF308" s="740"/>
      <c r="BG308" s="740"/>
      <c r="BH308" s="740"/>
      <c r="BI308" s="740"/>
      <c r="BJ308" s="740"/>
      <c r="BK308" s="740"/>
      <c r="BL308" s="740"/>
      <c r="BM308" s="740"/>
      <c r="BN308" s="740"/>
      <c r="BO308" s="740"/>
      <c r="BP308" s="740"/>
      <c r="BQ308" s="740"/>
      <c r="BR308" s="740"/>
      <c r="BS308" s="740"/>
      <c r="BT308" s="740"/>
      <c r="BU308" s="740"/>
      <c r="BV308" s="740"/>
      <c r="BW308" s="740"/>
      <c r="BX308" s="740"/>
      <c r="BY308" s="740"/>
      <c r="BZ308" s="740"/>
      <c r="CA308" s="740"/>
      <c r="CB308" s="740"/>
      <c r="CC308" s="740"/>
      <c r="CD308" s="740"/>
      <c r="CE308" s="740"/>
      <c r="CF308" s="740"/>
      <c r="CG308" s="740"/>
      <c r="CH308" s="740"/>
      <c r="CI308" s="740"/>
      <c r="CJ308" s="740"/>
      <c r="CK308" s="740"/>
      <c r="CL308" s="740"/>
      <c r="CM308" s="740"/>
      <c r="CN308" s="740"/>
      <c r="CO308" s="740"/>
      <c r="CP308" s="740"/>
      <c r="CQ308" s="740"/>
      <c r="CR308" s="740"/>
      <c r="CS308" s="740"/>
      <c r="CT308" s="740"/>
      <c r="CU308" s="740"/>
      <c r="CV308" s="740"/>
      <c r="CW308" s="740"/>
      <c r="CX308" s="740"/>
      <c r="CY308" s="740"/>
      <c r="CZ308" s="740"/>
      <c r="DA308" s="740"/>
      <c r="DB308" s="740"/>
      <c r="DC308" s="740"/>
      <c r="DD308" s="740"/>
      <c r="DE308" s="740"/>
      <c r="DF308" s="740"/>
      <c r="DG308" s="740"/>
      <c r="DH308" s="740"/>
      <c r="DI308" s="740"/>
      <c r="DJ308" s="740"/>
      <c r="DK308" s="740"/>
      <c r="DL308" s="740"/>
      <c r="DM308" s="740"/>
      <c r="DN308" s="740"/>
      <c r="DO308" s="740"/>
      <c r="DP308" s="740"/>
      <c r="DQ308" s="740"/>
      <c r="DR308" s="740"/>
      <c r="DS308" s="740"/>
      <c r="DT308" s="740"/>
      <c r="DU308" s="740"/>
      <c r="DV308" s="740"/>
      <c r="DW308" s="740"/>
      <c r="DX308" s="740"/>
      <c r="DY308" s="740"/>
      <c r="DZ308" s="740"/>
      <c r="EA308" s="740"/>
      <c r="EB308" s="740"/>
      <c r="EC308" s="740"/>
      <c r="ED308" s="740"/>
      <c r="EE308" s="740"/>
      <c r="EF308" s="740"/>
      <c r="EG308" s="740"/>
      <c r="EH308" s="740"/>
      <c r="EI308" s="740"/>
      <c r="EJ308" s="740"/>
      <c r="EK308" s="740"/>
      <c r="EL308" s="740"/>
      <c r="EM308" s="740"/>
      <c r="EN308" s="740"/>
      <c r="EO308" s="740"/>
      <c r="EP308" s="740"/>
      <c r="EQ308" s="740"/>
      <c r="ER308" s="740"/>
      <c r="ES308" s="740"/>
      <c r="ET308" s="740"/>
      <c r="EU308" s="740"/>
      <c r="EV308" s="740"/>
      <c r="EW308" s="740"/>
      <c r="EX308" s="740"/>
      <c r="EY308" s="740"/>
      <c r="EZ308" s="740"/>
      <c r="FA308" s="740"/>
      <c r="FB308" s="740"/>
      <c r="FC308" s="740"/>
      <c r="FD308" s="740"/>
      <c r="FE308" s="740"/>
      <c r="FF308" s="740"/>
      <c r="FG308" s="740"/>
      <c r="FH308" s="740"/>
      <c r="FI308" s="740"/>
      <c r="FJ308" s="740"/>
      <c r="FK308" s="740"/>
      <c r="FL308" s="740"/>
      <c r="FM308" s="740"/>
      <c r="FN308" s="740"/>
      <c r="FO308" s="740"/>
      <c r="FP308" s="740"/>
      <c r="FQ308" s="740"/>
      <c r="FR308" s="740"/>
      <c r="FS308" s="740"/>
      <c r="FT308" s="740"/>
      <c r="FU308" s="740"/>
      <c r="FV308" s="740"/>
      <c r="FW308" s="740"/>
      <c r="FX308" s="740"/>
      <c r="FY308" s="740"/>
      <c r="FZ308" s="740"/>
      <c r="GA308" s="740"/>
      <c r="GB308" s="740"/>
      <c r="GC308" s="740"/>
      <c r="GD308" s="740"/>
      <c r="GE308" s="740"/>
      <c r="GF308" s="740"/>
      <c r="GG308" s="740"/>
      <c r="GH308" s="740"/>
      <c r="GI308" s="740"/>
      <c r="GJ308" s="740"/>
      <c r="GK308" s="740"/>
      <c r="GL308" s="740"/>
      <c r="GM308" s="740"/>
      <c r="GN308" s="740"/>
      <c r="GO308" s="740"/>
      <c r="GP308" s="740"/>
      <c r="GQ308" s="740"/>
      <c r="GR308" s="740"/>
      <c r="GS308" s="740"/>
      <c r="GT308" s="740"/>
      <c r="GU308" s="740"/>
      <c r="GV308" s="740"/>
      <c r="GW308" s="740"/>
    </row>
    <row r="309" spans="18:205" ht="24" customHeight="1" x14ac:dyDescent="0.2">
      <c r="R309" s="740"/>
      <c r="S309" s="740"/>
      <c r="T309" s="740"/>
      <c r="U309" s="740"/>
      <c r="V309" s="740"/>
      <c r="W309" s="740"/>
      <c r="X309" s="740"/>
      <c r="Y309" s="740"/>
      <c r="Z309" s="740"/>
      <c r="AA309" s="740"/>
      <c r="AB309" s="740"/>
      <c r="AC309" s="740"/>
      <c r="AD309" s="740"/>
      <c r="AE309" s="740"/>
      <c r="AF309" s="740"/>
      <c r="AG309" s="740"/>
      <c r="AH309" s="740"/>
      <c r="AI309" s="740"/>
      <c r="AJ309" s="740"/>
      <c r="AK309" s="740"/>
      <c r="AL309" s="740"/>
      <c r="AM309" s="740"/>
      <c r="AN309" s="740"/>
      <c r="AO309" s="740"/>
      <c r="AP309" s="740"/>
      <c r="AQ309" s="740"/>
      <c r="AR309" s="740"/>
      <c r="AS309" s="740"/>
      <c r="AT309" s="740"/>
      <c r="AU309" s="740"/>
      <c r="AV309" s="740"/>
      <c r="AW309" s="740"/>
      <c r="AX309" s="740"/>
      <c r="AY309" s="740"/>
      <c r="AZ309" s="740"/>
      <c r="BA309" s="740"/>
      <c r="BB309" s="740"/>
      <c r="BC309" s="740"/>
      <c r="BD309" s="740"/>
      <c r="BE309" s="740"/>
      <c r="BF309" s="740"/>
      <c r="BG309" s="740"/>
      <c r="BH309" s="740"/>
      <c r="BI309" s="740"/>
      <c r="BJ309" s="740"/>
      <c r="BK309" s="740"/>
      <c r="BL309" s="740"/>
      <c r="BM309" s="740"/>
      <c r="BN309" s="740"/>
      <c r="BO309" s="740"/>
      <c r="BP309" s="740"/>
      <c r="BQ309" s="740"/>
      <c r="BR309" s="740"/>
      <c r="BS309" s="740"/>
      <c r="BT309" s="740"/>
      <c r="BU309" s="740"/>
      <c r="BV309" s="740"/>
      <c r="BW309" s="740"/>
      <c r="BX309" s="740"/>
      <c r="BY309" s="740"/>
      <c r="BZ309" s="740"/>
      <c r="CA309" s="740"/>
      <c r="CB309" s="740"/>
      <c r="CC309" s="740"/>
      <c r="CD309" s="740"/>
      <c r="CE309" s="740"/>
      <c r="CF309" s="740"/>
      <c r="CG309" s="740"/>
      <c r="CH309" s="740"/>
      <c r="CI309" s="740"/>
      <c r="CJ309" s="740"/>
      <c r="CK309" s="740"/>
      <c r="CL309" s="740"/>
      <c r="CM309" s="740"/>
      <c r="CN309" s="740"/>
      <c r="CO309" s="740"/>
      <c r="CP309" s="740"/>
      <c r="CQ309" s="740"/>
      <c r="CR309" s="740"/>
      <c r="CS309" s="740"/>
      <c r="CT309" s="740"/>
      <c r="CU309" s="740"/>
      <c r="CV309" s="740"/>
      <c r="CW309" s="740"/>
      <c r="CX309" s="740"/>
      <c r="CY309" s="740"/>
      <c r="CZ309" s="740"/>
      <c r="DA309" s="740"/>
      <c r="DB309" s="740"/>
      <c r="DC309" s="740"/>
      <c r="DD309" s="740"/>
      <c r="DE309" s="740"/>
      <c r="DF309" s="740"/>
      <c r="DG309" s="740"/>
      <c r="DH309" s="740"/>
      <c r="DI309" s="740"/>
      <c r="DJ309" s="740"/>
      <c r="DK309" s="740"/>
      <c r="DL309" s="740"/>
      <c r="DM309" s="740"/>
      <c r="DN309" s="740"/>
      <c r="DO309" s="740"/>
      <c r="DP309" s="740"/>
      <c r="DQ309" s="740"/>
      <c r="DR309" s="740"/>
      <c r="DS309" s="740"/>
      <c r="DT309" s="740"/>
      <c r="DU309" s="740"/>
      <c r="DV309" s="740"/>
      <c r="DW309" s="740"/>
      <c r="DX309" s="740"/>
      <c r="DY309" s="740"/>
      <c r="DZ309" s="740"/>
      <c r="EA309" s="740"/>
      <c r="EB309" s="740"/>
      <c r="EC309" s="740"/>
      <c r="ED309" s="740"/>
      <c r="EE309" s="740"/>
      <c r="EF309" s="740"/>
      <c r="EG309" s="740"/>
      <c r="EH309" s="740"/>
      <c r="EI309" s="740"/>
      <c r="EJ309" s="740"/>
      <c r="EK309" s="740"/>
      <c r="EL309" s="740"/>
      <c r="EM309" s="740"/>
      <c r="EN309" s="740"/>
      <c r="EO309" s="740"/>
      <c r="EP309" s="740"/>
      <c r="EQ309" s="740"/>
      <c r="ER309" s="740"/>
      <c r="ES309" s="740"/>
      <c r="ET309" s="740"/>
      <c r="EU309" s="740"/>
      <c r="EV309" s="740"/>
      <c r="EW309" s="740"/>
      <c r="EX309" s="740"/>
      <c r="EY309" s="740"/>
      <c r="EZ309" s="740"/>
      <c r="FA309" s="740"/>
      <c r="FB309" s="740"/>
      <c r="FC309" s="740"/>
      <c r="FD309" s="740"/>
      <c r="FE309" s="740"/>
      <c r="FF309" s="740"/>
      <c r="FG309" s="740"/>
      <c r="FH309" s="740"/>
      <c r="FI309" s="740"/>
      <c r="FJ309" s="740"/>
      <c r="FK309" s="740"/>
      <c r="FL309" s="740"/>
      <c r="FM309" s="740"/>
      <c r="FN309" s="740"/>
      <c r="FO309" s="740"/>
      <c r="FP309" s="740"/>
      <c r="FQ309" s="740"/>
      <c r="FR309" s="740"/>
      <c r="FS309" s="740"/>
      <c r="FT309" s="740"/>
      <c r="FU309" s="740"/>
      <c r="FV309" s="740"/>
      <c r="FW309" s="740"/>
      <c r="FX309" s="740"/>
      <c r="FY309" s="740"/>
      <c r="FZ309" s="740"/>
      <c r="GA309" s="740"/>
      <c r="GB309" s="740"/>
      <c r="GC309" s="740"/>
      <c r="GD309" s="740"/>
      <c r="GE309" s="740"/>
      <c r="GF309" s="740"/>
      <c r="GG309" s="740"/>
      <c r="GH309" s="740"/>
      <c r="GI309" s="740"/>
      <c r="GJ309" s="740"/>
      <c r="GK309" s="740"/>
      <c r="GL309" s="740"/>
      <c r="GM309" s="740"/>
      <c r="GN309" s="740"/>
      <c r="GO309" s="740"/>
      <c r="GP309" s="740"/>
      <c r="GQ309" s="740"/>
      <c r="GR309" s="740"/>
      <c r="GS309" s="740"/>
      <c r="GT309" s="740"/>
      <c r="GU309" s="740"/>
      <c r="GV309" s="740"/>
      <c r="GW309" s="740"/>
    </row>
    <row r="310" spans="18:205" ht="24" customHeight="1" x14ac:dyDescent="0.2">
      <c r="R310" s="740"/>
      <c r="S310" s="740"/>
      <c r="T310" s="740"/>
      <c r="U310" s="740"/>
      <c r="V310" s="740"/>
      <c r="W310" s="740"/>
      <c r="X310" s="740"/>
      <c r="Y310" s="740"/>
      <c r="Z310" s="740"/>
      <c r="AA310" s="740"/>
      <c r="AB310" s="740"/>
      <c r="AC310" s="740"/>
      <c r="AD310" s="740"/>
      <c r="AE310" s="740"/>
      <c r="AF310" s="740"/>
      <c r="AG310" s="740"/>
      <c r="AH310" s="740"/>
      <c r="AI310" s="740"/>
      <c r="AJ310" s="740"/>
      <c r="AK310" s="740"/>
      <c r="AL310" s="740"/>
      <c r="AM310" s="740"/>
      <c r="AN310" s="740"/>
      <c r="AO310" s="740"/>
      <c r="AP310" s="740"/>
      <c r="AQ310" s="740"/>
      <c r="AR310" s="740"/>
      <c r="AS310" s="740"/>
      <c r="AT310" s="740"/>
      <c r="AU310" s="740"/>
      <c r="AV310" s="740"/>
      <c r="AW310" s="740"/>
      <c r="AX310" s="740"/>
      <c r="AY310" s="740"/>
      <c r="AZ310" s="740"/>
      <c r="BA310" s="740"/>
      <c r="BB310" s="740"/>
      <c r="BC310" s="740"/>
      <c r="BD310" s="740"/>
      <c r="BE310" s="740"/>
      <c r="BF310" s="740"/>
      <c r="BG310" s="740"/>
      <c r="BH310" s="740"/>
      <c r="BI310" s="740"/>
      <c r="BJ310" s="740"/>
      <c r="BK310" s="740"/>
      <c r="BL310" s="740"/>
      <c r="BM310" s="740"/>
      <c r="BN310" s="740"/>
      <c r="BO310" s="740"/>
      <c r="BP310" s="740"/>
      <c r="BQ310" s="740"/>
      <c r="BR310" s="740"/>
      <c r="BS310" s="740"/>
      <c r="BT310" s="740"/>
      <c r="BU310" s="740"/>
      <c r="BV310" s="740"/>
      <c r="BW310" s="740"/>
      <c r="BX310" s="740"/>
      <c r="BY310" s="740"/>
      <c r="BZ310" s="740"/>
      <c r="CA310" s="740"/>
      <c r="CB310" s="740"/>
      <c r="CC310" s="740"/>
      <c r="CD310" s="740"/>
      <c r="CE310" s="740"/>
      <c r="CF310" s="740"/>
      <c r="CG310" s="740"/>
      <c r="CH310" s="740"/>
      <c r="CI310" s="740"/>
      <c r="CJ310" s="740"/>
      <c r="CK310" s="740"/>
      <c r="CL310" s="740"/>
      <c r="CM310" s="740"/>
      <c r="CN310" s="740"/>
      <c r="CO310" s="740"/>
      <c r="CP310" s="740"/>
      <c r="CQ310" s="740"/>
      <c r="CR310" s="740"/>
      <c r="CS310" s="740"/>
      <c r="CT310" s="740"/>
      <c r="CU310" s="740"/>
      <c r="CV310" s="740"/>
      <c r="CW310" s="740"/>
      <c r="CX310" s="740"/>
      <c r="CY310" s="740"/>
      <c r="CZ310" s="740"/>
      <c r="DA310" s="740"/>
      <c r="DB310" s="740"/>
      <c r="DC310" s="740"/>
      <c r="DD310" s="740"/>
      <c r="DE310" s="740"/>
      <c r="DF310" s="740"/>
      <c r="DG310" s="740"/>
      <c r="DH310" s="740"/>
      <c r="DI310" s="740"/>
      <c r="DJ310" s="740"/>
      <c r="DK310" s="740"/>
      <c r="DL310" s="740"/>
      <c r="DM310" s="740"/>
      <c r="DN310" s="740"/>
      <c r="DO310" s="740"/>
      <c r="DP310" s="740"/>
      <c r="DQ310" s="740"/>
      <c r="DR310" s="740"/>
      <c r="DS310" s="740"/>
      <c r="DT310" s="740"/>
      <c r="DU310" s="740"/>
      <c r="DV310" s="740"/>
      <c r="DW310" s="740"/>
      <c r="DX310" s="740"/>
      <c r="DY310" s="740"/>
      <c r="DZ310" s="740"/>
      <c r="EA310" s="740"/>
      <c r="EB310" s="740"/>
      <c r="EC310" s="740"/>
      <c r="ED310" s="740"/>
      <c r="EE310" s="740"/>
      <c r="EF310" s="740"/>
      <c r="EG310" s="740"/>
      <c r="EH310" s="740"/>
      <c r="EI310" s="740"/>
      <c r="EJ310" s="740"/>
      <c r="EK310" s="740"/>
      <c r="EL310" s="740"/>
      <c r="EM310" s="740"/>
      <c r="EN310" s="740"/>
      <c r="EO310" s="740"/>
      <c r="EP310" s="740"/>
      <c r="EQ310" s="740"/>
      <c r="ER310" s="740"/>
      <c r="ES310" s="740"/>
      <c r="ET310" s="740"/>
      <c r="EU310" s="740"/>
      <c r="EV310" s="740"/>
      <c r="EW310" s="740"/>
      <c r="EX310" s="740"/>
      <c r="EY310" s="740"/>
      <c r="EZ310" s="740"/>
      <c r="FA310" s="740"/>
      <c r="FB310" s="740"/>
      <c r="FC310" s="740"/>
      <c r="FD310" s="740"/>
      <c r="FE310" s="740"/>
      <c r="FF310" s="740"/>
      <c r="FG310" s="740"/>
      <c r="FH310" s="740"/>
      <c r="FI310" s="740"/>
      <c r="FJ310" s="740"/>
      <c r="FK310" s="740"/>
      <c r="FL310" s="740"/>
      <c r="FM310" s="740"/>
      <c r="FN310" s="740"/>
      <c r="FO310" s="740"/>
      <c r="FP310" s="740"/>
      <c r="FQ310" s="740"/>
      <c r="FR310" s="740"/>
      <c r="FS310" s="740"/>
      <c r="FT310" s="740"/>
      <c r="FU310" s="740"/>
      <c r="FV310" s="740"/>
      <c r="FW310" s="740"/>
      <c r="FX310" s="740"/>
      <c r="FY310" s="740"/>
      <c r="FZ310" s="740"/>
      <c r="GA310" s="740"/>
      <c r="GB310" s="740"/>
      <c r="GC310" s="740"/>
      <c r="GD310" s="740"/>
      <c r="GE310" s="740"/>
      <c r="GF310" s="740"/>
      <c r="GG310" s="740"/>
      <c r="GH310" s="740"/>
      <c r="GI310" s="740"/>
      <c r="GJ310" s="740"/>
      <c r="GK310" s="740"/>
      <c r="GL310" s="740"/>
      <c r="GM310" s="740"/>
      <c r="GN310" s="740"/>
      <c r="GO310" s="740"/>
      <c r="GP310" s="740"/>
      <c r="GQ310" s="740"/>
      <c r="GR310" s="740"/>
      <c r="GS310" s="740"/>
      <c r="GT310" s="740"/>
      <c r="GU310" s="740"/>
      <c r="GV310" s="740"/>
      <c r="GW310" s="740"/>
    </row>
    <row r="311" spans="18:205" ht="24" customHeight="1" x14ac:dyDescent="0.2">
      <c r="R311" s="740"/>
      <c r="S311" s="740"/>
      <c r="T311" s="740"/>
      <c r="U311" s="740"/>
      <c r="V311" s="740"/>
      <c r="W311" s="740"/>
      <c r="X311" s="740"/>
      <c r="Y311" s="740"/>
      <c r="Z311" s="740"/>
      <c r="AA311" s="740"/>
      <c r="AB311" s="740"/>
      <c r="AC311" s="740"/>
      <c r="AD311" s="740"/>
      <c r="AE311" s="740"/>
      <c r="AF311" s="740"/>
      <c r="AG311" s="740"/>
      <c r="AH311" s="740"/>
      <c r="AI311" s="740"/>
      <c r="AJ311" s="740"/>
      <c r="AK311" s="740"/>
      <c r="AL311" s="740"/>
      <c r="AM311" s="740"/>
      <c r="AN311" s="740"/>
      <c r="AO311" s="740"/>
      <c r="AP311" s="740"/>
      <c r="AQ311" s="740"/>
      <c r="AR311" s="740"/>
      <c r="AS311" s="740"/>
      <c r="AT311" s="740"/>
      <c r="AU311" s="740"/>
      <c r="AV311" s="740"/>
      <c r="AW311" s="740"/>
      <c r="AX311" s="740"/>
      <c r="AY311" s="740"/>
      <c r="AZ311" s="740"/>
      <c r="BA311" s="740"/>
      <c r="BB311" s="740"/>
      <c r="BC311" s="740"/>
      <c r="BD311" s="740"/>
      <c r="BE311" s="740"/>
      <c r="BF311" s="740"/>
      <c r="BG311" s="740"/>
      <c r="BH311" s="740"/>
      <c r="BI311" s="740"/>
      <c r="BJ311" s="740"/>
      <c r="BK311" s="740"/>
      <c r="BL311" s="740"/>
      <c r="BM311" s="740"/>
      <c r="BN311" s="740"/>
      <c r="BO311" s="740"/>
      <c r="BP311" s="740"/>
      <c r="BQ311" s="740"/>
      <c r="BR311" s="740"/>
      <c r="BS311" s="740"/>
      <c r="BT311" s="740"/>
      <c r="BU311" s="740"/>
      <c r="BV311" s="740"/>
      <c r="BW311" s="740"/>
      <c r="BX311" s="740"/>
      <c r="BY311" s="740"/>
      <c r="BZ311" s="740"/>
      <c r="CA311" s="740"/>
      <c r="CB311" s="740"/>
      <c r="CC311" s="740"/>
      <c r="CD311" s="740"/>
      <c r="CE311" s="740"/>
      <c r="CF311" s="740"/>
      <c r="CG311" s="740"/>
      <c r="CH311" s="740"/>
      <c r="CI311" s="740"/>
      <c r="CJ311" s="740"/>
      <c r="CK311" s="740"/>
      <c r="CL311" s="740"/>
      <c r="CM311" s="740"/>
      <c r="CN311" s="740"/>
      <c r="CO311" s="740"/>
      <c r="CP311" s="740"/>
      <c r="CQ311" s="740"/>
      <c r="CR311" s="740"/>
      <c r="CS311" s="740"/>
      <c r="CT311" s="740"/>
      <c r="CU311" s="740"/>
      <c r="CV311" s="740"/>
      <c r="CW311" s="740"/>
      <c r="CX311" s="740"/>
      <c r="CY311" s="740"/>
      <c r="CZ311" s="740"/>
      <c r="DA311" s="740"/>
      <c r="DB311" s="740"/>
      <c r="DC311" s="740"/>
      <c r="DD311" s="740"/>
      <c r="DE311" s="740"/>
      <c r="DF311" s="740"/>
      <c r="DG311" s="740"/>
      <c r="DH311" s="740"/>
      <c r="DI311" s="740"/>
      <c r="DJ311" s="740"/>
      <c r="DK311" s="740"/>
      <c r="DL311" s="740"/>
      <c r="DM311" s="740"/>
      <c r="DN311" s="740"/>
      <c r="DO311" s="740"/>
      <c r="DP311" s="740"/>
      <c r="DQ311" s="740"/>
      <c r="DR311" s="740"/>
      <c r="DS311" s="740"/>
      <c r="DT311" s="740"/>
      <c r="DU311" s="740"/>
      <c r="DV311" s="740"/>
      <c r="DW311" s="740"/>
      <c r="DX311" s="740"/>
      <c r="DY311" s="740"/>
      <c r="DZ311" s="740"/>
      <c r="EA311" s="740"/>
      <c r="EB311" s="740"/>
      <c r="EC311" s="740"/>
      <c r="ED311" s="740"/>
      <c r="EE311" s="740"/>
      <c r="EF311" s="740"/>
      <c r="EG311" s="740"/>
      <c r="EH311" s="740"/>
      <c r="EI311" s="740"/>
      <c r="EJ311" s="740"/>
      <c r="EK311" s="740"/>
      <c r="EL311" s="740"/>
      <c r="EM311" s="740"/>
      <c r="EN311" s="740"/>
      <c r="EO311" s="740"/>
      <c r="EP311" s="740"/>
      <c r="EQ311" s="740"/>
      <c r="ER311" s="740"/>
      <c r="ES311" s="740"/>
      <c r="ET311" s="740"/>
      <c r="EU311" s="740"/>
      <c r="EV311" s="740"/>
      <c r="EW311" s="740"/>
      <c r="EX311" s="740"/>
      <c r="EY311" s="740"/>
      <c r="EZ311" s="740"/>
      <c r="FA311" s="740"/>
      <c r="FB311" s="740"/>
      <c r="FC311" s="740"/>
      <c r="FD311" s="740"/>
      <c r="FE311" s="740"/>
      <c r="FF311" s="740"/>
      <c r="FG311" s="740"/>
      <c r="FH311" s="740"/>
      <c r="FI311" s="740"/>
      <c r="FJ311" s="740"/>
      <c r="FK311" s="740"/>
      <c r="FL311" s="740"/>
      <c r="FM311" s="740"/>
      <c r="FN311" s="740"/>
      <c r="FO311" s="740"/>
      <c r="FP311" s="740"/>
      <c r="FQ311" s="740"/>
      <c r="FR311" s="740"/>
      <c r="FS311" s="740"/>
      <c r="FT311" s="740"/>
      <c r="FU311" s="740"/>
      <c r="FV311" s="740"/>
      <c r="FW311" s="740"/>
      <c r="FX311" s="740"/>
      <c r="FY311" s="740"/>
      <c r="FZ311" s="740"/>
      <c r="GA311" s="740"/>
      <c r="GB311" s="740"/>
      <c r="GC311" s="740"/>
      <c r="GD311" s="740"/>
      <c r="GE311" s="740"/>
      <c r="GF311" s="740"/>
      <c r="GG311" s="740"/>
      <c r="GH311" s="740"/>
      <c r="GI311" s="740"/>
      <c r="GJ311" s="740"/>
      <c r="GK311" s="740"/>
      <c r="GL311" s="740"/>
      <c r="GM311" s="740"/>
      <c r="GN311" s="740"/>
      <c r="GO311" s="740"/>
      <c r="GP311" s="740"/>
      <c r="GQ311" s="740"/>
      <c r="GR311" s="740"/>
      <c r="GS311" s="740"/>
      <c r="GT311" s="740"/>
      <c r="GU311" s="740"/>
      <c r="GV311" s="740"/>
      <c r="GW311" s="740"/>
    </row>
    <row r="312" spans="18:205" ht="24" customHeight="1" x14ac:dyDescent="0.2">
      <c r="R312" s="740"/>
      <c r="S312" s="740"/>
      <c r="T312" s="740"/>
      <c r="U312" s="740"/>
      <c r="V312" s="740"/>
      <c r="W312" s="740"/>
      <c r="X312" s="740"/>
      <c r="Y312" s="740"/>
      <c r="Z312" s="740"/>
      <c r="AA312" s="740"/>
      <c r="AB312" s="740"/>
      <c r="AC312" s="740"/>
      <c r="AD312" s="740"/>
      <c r="AE312" s="740"/>
      <c r="AF312" s="740"/>
      <c r="AG312" s="740"/>
      <c r="AH312" s="740"/>
      <c r="AI312" s="740"/>
      <c r="AJ312" s="740"/>
      <c r="AK312" s="740"/>
      <c r="AL312" s="740"/>
      <c r="AM312" s="740"/>
      <c r="AN312" s="740"/>
      <c r="AO312" s="740"/>
      <c r="AP312" s="740"/>
      <c r="AQ312" s="740"/>
      <c r="AR312" s="740"/>
      <c r="AS312" s="740"/>
      <c r="AT312" s="740"/>
      <c r="AU312" s="740"/>
      <c r="AV312" s="740"/>
      <c r="AW312" s="740"/>
      <c r="AX312" s="740"/>
      <c r="AY312" s="740"/>
      <c r="AZ312" s="740"/>
      <c r="BA312" s="740"/>
      <c r="BB312" s="740"/>
      <c r="BC312" s="740"/>
      <c r="BD312" s="740"/>
      <c r="BE312" s="740"/>
      <c r="BF312" s="740"/>
      <c r="BG312" s="740"/>
      <c r="BH312" s="740"/>
      <c r="BI312" s="740"/>
      <c r="BJ312" s="740"/>
      <c r="BK312" s="740"/>
      <c r="BL312" s="740"/>
      <c r="BM312" s="740"/>
      <c r="BN312" s="740"/>
      <c r="BO312" s="740"/>
      <c r="BP312" s="740"/>
      <c r="BQ312" s="740"/>
      <c r="BR312" s="740"/>
      <c r="BS312" s="740"/>
      <c r="BT312" s="740"/>
      <c r="BU312" s="740"/>
      <c r="BV312" s="740"/>
      <c r="BW312" s="740"/>
      <c r="BX312" s="740"/>
      <c r="BY312" s="740"/>
      <c r="BZ312" s="740"/>
      <c r="CA312" s="740"/>
      <c r="CB312" s="740"/>
      <c r="CC312" s="740"/>
      <c r="CD312" s="740"/>
      <c r="CE312" s="740"/>
      <c r="CF312" s="740"/>
      <c r="CG312" s="740"/>
      <c r="CH312" s="740"/>
      <c r="CI312" s="740"/>
      <c r="CJ312" s="740"/>
      <c r="CK312" s="740"/>
      <c r="CL312" s="740"/>
      <c r="CM312" s="740"/>
      <c r="CN312" s="740"/>
      <c r="CO312" s="740"/>
      <c r="CP312" s="740"/>
      <c r="CQ312" s="740"/>
      <c r="CR312" s="740"/>
      <c r="CS312" s="740"/>
      <c r="CT312" s="740"/>
      <c r="CU312" s="740"/>
      <c r="CV312" s="740"/>
      <c r="CW312" s="740"/>
      <c r="CX312" s="740"/>
      <c r="CY312" s="740"/>
      <c r="CZ312" s="740"/>
      <c r="DA312" s="740"/>
      <c r="DB312" s="740"/>
      <c r="DC312" s="740"/>
      <c r="DD312" s="740"/>
      <c r="DE312" s="740"/>
      <c r="DF312" s="740"/>
      <c r="DG312" s="740"/>
      <c r="DH312" s="740"/>
      <c r="DI312" s="740"/>
      <c r="DJ312" s="740"/>
      <c r="DK312" s="740"/>
      <c r="DL312" s="740"/>
      <c r="DM312" s="740"/>
      <c r="DN312" s="740"/>
      <c r="DO312" s="740"/>
      <c r="DP312" s="740"/>
      <c r="DQ312" s="740"/>
      <c r="DR312" s="740"/>
      <c r="DS312" s="740"/>
      <c r="DT312" s="740"/>
      <c r="DU312" s="740"/>
      <c r="DV312" s="740"/>
      <c r="DW312" s="740"/>
      <c r="DX312" s="740"/>
      <c r="DY312" s="740"/>
      <c r="DZ312" s="740"/>
      <c r="EA312" s="740"/>
      <c r="EB312" s="740"/>
      <c r="EC312" s="740"/>
      <c r="ED312" s="740"/>
      <c r="EE312" s="740"/>
      <c r="EF312" s="740"/>
      <c r="EG312" s="740"/>
      <c r="EH312" s="740"/>
      <c r="EI312" s="740"/>
      <c r="EJ312" s="740"/>
      <c r="EK312" s="740"/>
      <c r="EL312" s="740"/>
      <c r="EM312" s="740"/>
      <c r="EN312" s="740"/>
      <c r="EO312" s="740"/>
      <c r="EP312" s="740"/>
      <c r="EQ312" s="740"/>
      <c r="ER312" s="740"/>
      <c r="ES312" s="740"/>
      <c r="ET312" s="740"/>
      <c r="EU312" s="740"/>
      <c r="EV312" s="740"/>
      <c r="EW312" s="740"/>
      <c r="EX312" s="740"/>
      <c r="EY312" s="740"/>
      <c r="EZ312" s="740"/>
      <c r="FA312" s="740"/>
      <c r="FB312" s="740"/>
      <c r="FC312" s="740"/>
      <c r="FD312" s="740"/>
      <c r="FE312" s="740"/>
      <c r="FF312" s="740"/>
      <c r="FG312" s="740"/>
      <c r="FH312" s="740"/>
      <c r="FI312" s="740"/>
      <c r="FJ312" s="740"/>
      <c r="FK312" s="740"/>
      <c r="FL312" s="740"/>
      <c r="FM312" s="740"/>
      <c r="FN312" s="740"/>
      <c r="FO312" s="740"/>
      <c r="FP312" s="740"/>
      <c r="FQ312" s="740"/>
      <c r="FR312" s="740"/>
      <c r="FS312" s="740"/>
      <c r="FT312" s="740"/>
      <c r="FU312" s="740"/>
      <c r="FV312" s="740"/>
      <c r="FW312" s="740"/>
      <c r="FX312" s="740"/>
      <c r="FY312" s="740"/>
      <c r="FZ312" s="740"/>
      <c r="GA312" s="740"/>
      <c r="GB312" s="740"/>
      <c r="GC312" s="740"/>
      <c r="GD312" s="740"/>
      <c r="GE312" s="740"/>
      <c r="GF312" s="740"/>
      <c r="GG312" s="740"/>
      <c r="GH312" s="740"/>
      <c r="GI312" s="740"/>
      <c r="GJ312" s="740"/>
      <c r="GK312" s="740"/>
      <c r="GL312" s="740"/>
      <c r="GM312" s="740"/>
      <c r="GN312" s="740"/>
      <c r="GO312" s="740"/>
      <c r="GP312" s="740"/>
      <c r="GQ312" s="740"/>
      <c r="GR312" s="740"/>
      <c r="GS312" s="740"/>
      <c r="GT312" s="740"/>
      <c r="GU312" s="740"/>
      <c r="GV312" s="740"/>
      <c r="GW312" s="740"/>
    </row>
    <row r="313" spans="18:205" ht="24" customHeight="1" x14ac:dyDescent="0.2">
      <c r="R313" s="740"/>
      <c r="S313" s="740"/>
      <c r="T313" s="740"/>
      <c r="U313" s="740"/>
      <c r="V313" s="740"/>
      <c r="W313" s="740"/>
      <c r="X313" s="740"/>
      <c r="Y313" s="740"/>
      <c r="Z313" s="740"/>
      <c r="AA313" s="740"/>
      <c r="AB313" s="740"/>
      <c r="AC313" s="740"/>
      <c r="AD313" s="740"/>
      <c r="AE313" s="740"/>
      <c r="AF313" s="740"/>
      <c r="AG313" s="740"/>
      <c r="AH313" s="740"/>
      <c r="AI313" s="740"/>
      <c r="AJ313" s="740"/>
      <c r="AK313" s="740"/>
      <c r="AL313" s="740"/>
      <c r="AM313" s="740"/>
      <c r="AN313" s="740"/>
      <c r="AO313" s="740"/>
      <c r="AP313" s="740"/>
      <c r="AQ313" s="740"/>
      <c r="AR313" s="740"/>
      <c r="AS313" s="740"/>
      <c r="AT313" s="740"/>
      <c r="AU313" s="740"/>
      <c r="AV313" s="740"/>
      <c r="AW313" s="740"/>
      <c r="AX313" s="740"/>
      <c r="AY313" s="740"/>
      <c r="AZ313" s="740"/>
      <c r="BA313" s="740"/>
      <c r="BB313" s="740"/>
      <c r="BC313" s="740"/>
      <c r="BD313" s="740"/>
      <c r="BE313" s="740"/>
      <c r="BF313" s="740"/>
      <c r="BG313" s="740"/>
      <c r="BH313" s="740"/>
      <c r="BI313" s="740"/>
      <c r="BJ313" s="740"/>
      <c r="BK313" s="740"/>
      <c r="BL313" s="740"/>
      <c r="BM313" s="740"/>
      <c r="BN313" s="740"/>
      <c r="BO313" s="740"/>
      <c r="BP313" s="740"/>
      <c r="BQ313" s="740"/>
      <c r="BR313" s="740"/>
      <c r="BS313" s="740"/>
      <c r="BT313" s="740"/>
      <c r="BU313" s="740"/>
      <c r="BV313" s="740"/>
      <c r="BW313" s="740"/>
      <c r="BX313" s="740"/>
      <c r="BY313" s="740"/>
      <c r="BZ313" s="740"/>
      <c r="CA313" s="740"/>
      <c r="CB313" s="740"/>
      <c r="CC313" s="740"/>
      <c r="CD313" s="740"/>
      <c r="CE313" s="740"/>
      <c r="CF313" s="740"/>
      <c r="CG313" s="740"/>
      <c r="CH313" s="740"/>
      <c r="CI313" s="740"/>
      <c r="CJ313" s="740"/>
      <c r="CK313" s="740"/>
      <c r="CL313" s="740"/>
      <c r="CM313" s="740"/>
      <c r="CN313" s="740"/>
      <c r="CO313" s="740"/>
      <c r="CP313" s="740"/>
      <c r="CQ313" s="740"/>
      <c r="CR313" s="740"/>
      <c r="CS313" s="740"/>
      <c r="CT313" s="740"/>
      <c r="CU313" s="740"/>
      <c r="CV313" s="740"/>
      <c r="CW313" s="740"/>
      <c r="CX313" s="740"/>
      <c r="CY313" s="740"/>
      <c r="CZ313" s="740"/>
      <c r="DA313" s="740"/>
      <c r="DB313" s="740"/>
      <c r="DC313" s="740"/>
      <c r="DD313" s="740"/>
      <c r="DE313" s="740"/>
      <c r="DF313" s="740"/>
      <c r="DG313" s="740"/>
      <c r="DH313" s="740"/>
      <c r="DI313" s="740"/>
      <c r="DJ313" s="740"/>
      <c r="DK313" s="740"/>
      <c r="DL313" s="740"/>
      <c r="DM313" s="740"/>
      <c r="DN313" s="740"/>
      <c r="DO313" s="740"/>
      <c r="DP313" s="740"/>
      <c r="DQ313" s="740"/>
      <c r="DR313" s="740"/>
      <c r="DS313" s="740"/>
      <c r="DT313" s="740"/>
      <c r="DU313" s="740"/>
      <c r="DV313" s="740"/>
      <c r="DW313" s="740"/>
      <c r="DX313" s="740"/>
      <c r="DY313" s="740"/>
      <c r="DZ313" s="740"/>
      <c r="EA313" s="740"/>
      <c r="EB313" s="740"/>
      <c r="EC313" s="740"/>
      <c r="ED313" s="740"/>
      <c r="EE313" s="740"/>
      <c r="EF313" s="740"/>
      <c r="EG313" s="740"/>
      <c r="EH313" s="740"/>
      <c r="EI313" s="740"/>
      <c r="EJ313" s="740"/>
      <c r="EK313" s="740"/>
      <c r="EL313" s="740"/>
      <c r="EM313" s="740"/>
      <c r="EN313" s="740"/>
      <c r="EO313" s="740"/>
      <c r="EP313" s="740"/>
      <c r="EQ313" s="740"/>
      <c r="ER313" s="740"/>
      <c r="ES313" s="740"/>
      <c r="ET313" s="740"/>
      <c r="EU313" s="740"/>
      <c r="EV313" s="740"/>
      <c r="EW313" s="740"/>
      <c r="EX313" s="740"/>
      <c r="EY313" s="740"/>
      <c r="EZ313" s="740"/>
      <c r="FA313" s="740"/>
      <c r="FB313" s="740"/>
      <c r="FC313" s="740"/>
      <c r="FD313" s="740"/>
      <c r="FE313" s="740"/>
      <c r="FF313" s="740"/>
      <c r="FG313" s="740"/>
      <c r="FH313" s="740"/>
      <c r="FI313" s="740"/>
      <c r="FJ313" s="740"/>
      <c r="FK313" s="740"/>
      <c r="FL313" s="740"/>
      <c r="FM313" s="740"/>
      <c r="FN313" s="740"/>
      <c r="FO313" s="740"/>
      <c r="FP313" s="740"/>
      <c r="FQ313" s="740"/>
      <c r="FR313" s="740"/>
      <c r="FS313" s="740"/>
      <c r="FT313" s="740"/>
      <c r="FU313" s="740"/>
      <c r="FV313" s="740"/>
      <c r="FW313" s="740"/>
      <c r="FX313" s="740"/>
      <c r="FY313" s="740"/>
      <c r="FZ313" s="740"/>
      <c r="GA313" s="740"/>
      <c r="GB313" s="740"/>
      <c r="GC313" s="740"/>
      <c r="GD313" s="740"/>
      <c r="GE313" s="740"/>
      <c r="GF313" s="740"/>
      <c r="GG313" s="740"/>
      <c r="GH313" s="740"/>
      <c r="GI313" s="740"/>
      <c r="GJ313" s="740"/>
      <c r="GK313" s="740"/>
      <c r="GL313" s="740"/>
      <c r="GM313" s="740"/>
      <c r="GN313" s="740"/>
      <c r="GO313" s="740"/>
      <c r="GP313" s="740"/>
      <c r="GQ313" s="740"/>
      <c r="GR313" s="740"/>
      <c r="GS313" s="740"/>
      <c r="GT313" s="740"/>
      <c r="GU313" s="740"/>
      <c r="GV313" s="740"/>
      <c r="GW313" s="740"/>
    </row>
    <row r="314" spans="18:205" ht="24" customHeight="1" x14ac:dyDescent="0.2">
      <c r="R314" s="740"/>
      <c r="S314" s="740"/>
      <c r="T314" s="740"/>
      <c r="U314" s="740"/>
      <c r="V314" s="740"/>
      <c r="W314" s="740"/>
      <c r="X314" s="740"/>
      <c r="Y314" s="740"/>
      <c r="Z314" s="740"/>
      <c r="AA314" s="740"/>
      <c r="AB314" s="740"/>
      <c r="AC314" s="740"/>
      <c r="AD314" s="740"/>
      <c r="AE314" s="740"/>
      <c r="AF314" s="740"/>
      <c r="AG314" s="740"/>
      <c r="AH314" s="740"/>
      <c r="AI314" s="740"/>
      <c r="AJ314" s="740"/>
      <c r="AK314" s="740"/>
      <c r="AL314" s="740"/>
      <c r="AM314" s="740"/>
      <c r="AN314" s="740"/>
      <c r="AO314" s="740"/>
      <c r="AP314" s="740"/>
      <c r="AQ314" s="740"/>
      <c r="AR314" s="740"/>
      <c r="AS314" s="740"/>
      <c r="AT314" s="740"/>
      <c r="AU314" s="740"/>
      <c r="AV314" s="740"/>
      <c r="AW314" s="740"/>
      <c r="AX314" s="740"/>
      <c r="AY314" s="740"/>
      <c r="AZ314" s="740"/>
      <c r="BA314" s="740"/>
      <c r="BB314" s="740"/>
      <c r="BC314" s="740"/>
      <c r="BD314" s="740"/>
      <c r="BE314" s="740"/>
      <c r="BF314" s="740"/>
      <c r="BG314" s="740"/>
      <c r="BH314" s="740"/>
      <c r="BI314" s="740"/>
      <c r="BJ314" s="740"/>
      <c r="BK314" s="740"/>
      <c r="BL314" s="740"/>
      <c r="BM314" s="740"/>
      <c r="BN314" s="740"/>
      <c r="BO314" s="740"/>
      <c r="BP314" s="740"/>
      <c r="BQ314" s="740"/>
      <c r="BR314" s="740"/>
      <c r="BS314" s="740"/>
      <c r="BT314" s="740"/>
      <c r="BU314" s="740"/>
      <c r="BV314" s="740"/>
      <c r="BW314" s="740"/>
      <c r="BX314" s="740"/>
      <c r="BY314" s="740"/>
      <c r="BZ314" s="740"/>
      <c r="CA314" s="740"/>
      <c r="CB314" s="740"/>
      <c r="CC314" s="740"/>
      <c r="CD314" s="740"/>
      <c r="CE314" s="740"/>
      <c r="CF314" s="740"/>
      <c r="CG314" s="740"/>
      <c r="CH314" s="740"/>
      <c r="CI314" s="740"/>
      <c r="CJ314" s="740"/>
      <c r="CK314" s="740"/>
      <c r="CL314" s="740"/>
      <c r="CM314" s="740"/>
      <c r="CN314" s="740"/>
      <c r="CO314" s="740"/>
      <c r="CP314" s="740"/>
      <c r="CQ314" s="740"/>
      <c r="CR314" s="740"/>
      <c r="CS314" s="740"/>
      <c r="CT314" s="740"/>
      <c r="CU314" s="740"/>
      <c r="CV314" s="740"/>
      <c r="CW314" s="740"/>
      <c r="CX314" s="740"/>
      <c r="CY314" s="740"/>
      <c r="CZ314" s="740"/>
      <c r="DA314" s="740"/>
      <c r="DB314" s="740"/>
      <c r="DC314" s="740"/>
      <c r="DD314" s="740"/>
      <c r="DE314" s="740"/>
      <c r="DF314" s="740"/>
      <c r="DG314" s="740"/>
      <c r="DH314" s="740"/>
      <c r="DI314" s="740"/>
      <c r="DJ314" s="740"/>
      <c r="DK314" s="740"/>
      <c r="DL314" s="740"/>
      <c r="DM314" s="740"/>
      <c r="DN314" s="740"/>
      <c r="DO314" s="740"/>
      <c r="DP314" s="740"/>
      <c r="DQ314" s="740"/>
      <c r="DR314" s="740"/>
      <c r="DS314" s="740"/>
      <c r="DT314" s="740"/>
      <c r="DU314" s="740"/>
      <c r="DV314" s="740"/>
      <c r="DW314" s="740"/>
      <c r="DX314" s="740"/>
      <c r="DY314" s="740"/>
      <c r="DZ314" s="740"/>
      <c r="EA314" s="740"/>
      <c r="EB314" s="740"/>
      <c r="EC314" s="740"/>
      <c r="ED314" s="740"/>
      <c r="EE314" s="740"/>
      <c r="EF314" s="740"/>
      <c r="EG314" s="740"/>
      <c r="EH314" s="740"/>
      <c r="EI314" s="740"/>
      <c r="EJ314" s="740"/>
      <c r="EK314" s="740"/>
      <c r="EL314" s="740"/>
      <c r="EM314" s="740"/>
      <c r="EN314" s="740"/>
      <c r="EO314" s="740"/>
      <c r="EP314" s="740"/>
      <c r="EQ314" s="740"/>
      <c r="ER314" s="740"/>
      <c r="ES314" s="740"/>
      <c r="ET314" s="740"/>
      <c r="EU314" s="740"/>
      <c r="EV314" s="740"/>
      <c r="EW314" s="740"/>
      <c r="EX314" s="740"/>
      <c r="EY314" s="740"/>
      <c r="EZ314" s="740"/>
      <c r="FA314" s="740"/>
      <c r="FB314" s="740"/>
      <c r="FC314" s="740"/>
      <c r="FD314" s="740"/>
      <c r="FE314" s="740"/>
      <c r="FF314" s="740"/>
      <c r="FG314" s="740"/>
      <c r="FH314" s="740"/>
      <c r="FI314" s="740"/>
      <c r="FJ314" s="740"/>
      <c r="FK314" s="740"/>
      <c r="FL314" s="740"/>
      <c r="FM314" s="740"/>
      <c r="FN314" s="740"/>
      <c r="FO314" s="740"/>
      <c r="FP314" s="740"/>
      <c r="FQ314" s="740"/>
      <c r="FR314" s="740"/>
      <c r="FS314" s="740"/>
      <c r="FT314" s="740"/>
      <c r="FU314" s="740"/>
      <c r="FV314" s="740"/>
      <c r="FW314" s="740"/>
      <c r="FX314" s="740"/>
      <c r="FY314" s="740"/>
      <c r="FZ314" s="740"/>
      <c r="GA314" s="740"/>
      <c r="GB314" s="740"/>
      <c r="GC314" s="740"/>
      <c r="GD314" s="740"/>
      <c r="GE314" s="740"/>
      <c r="GF314" s="740"/>
      <c r="GG314" s="740"/>
      <c r="GH314" s="740"/>
      <c r="GI314" s="740"/>
      <c r="GJ314" s="740"/>
      <c r="GK314" s="740"/>
      <c r="GL314" s="740"/>
      <c r="GM314" s="740"/>
      <c r="GN314" s="740"/>
      <c r="GO314" s="740"/>
      <c r="GP314" s="740"/>
      <c r="GQ314" s="740"/>
      <c r="GR314" s="740"/>
      <c r="GS314" s="740"/>
      <c r="GT314" s="740"/>
      <c r="GU314" s="740"/>
      <c r="GV314" s="740"/>
      <c r="GW314" s="740"/>
    </row>
    <row r="315" spans="18:205" ht="24" customHeight="1" x14ac:dyDescent="0.2">
      <c r="R315" s="740"/>
      <c r="S315" s="740"/>
      <c r="T315" s="740"/>
      <c r="U315" s="740"/>
      <c r="V315" s="740"/>
      <c r="W315" s="740"/>
      <c r="X315" s="740"/>
      <c r="Y315" s="740"/>
      <c r="Z315" s="740"/>
      <c r="AA315" s="740"/>
      <c r="AB315" s="740"/>
      <c r="AC315" s="740"/>
      <c r="AD315" s="740"/>
      <c r="AE315" s="740"/>
      <c r="AF315" s="740"/>
      <c r="AG315" s="740"/>
      <c r="AH315" s="740"/>
      <c r="AI315" s="740"/>
      <c r="AJ315" s="740"/>
      <c r="AK315" s="740"/>
      <c r="AL315" s="740"/>
      <c r="AM315" s="740"/>
      <c r="AN315" s="740"/>
      <c r="AO315" s="740"/>
      <c r="AP315" s="740"/>
      <c r="AQ315" s="740"/>
      <c r="AR315" s="740"/>
      <c r="AS315" s="740"/>
      <c r="AT315" s="740"/>
      <c r="AU315" s="740"/>
      <c r="AV315" s="740"/>
      <c r="AW315" s="740"/>
      <c r="AX315" s="740"/>
      <c r="AY315" s="740"/>
      <c r="AZ315" s="740"/>
      <c r="BA315" s="740"/>
      <c r="BB315" s="740"/>
      <c r="BC315" s="740"/>
      <c r="BD315" s="740"/>
      <c r="BE315" s="740"/>
      <c r="BF315" s="740"/>
      <c r="BG315" s="740"/>
      <c r="BH315" s="740"/>
      <c r="BI315" s="740"/>
      <c r="BJ315" s="740"/>
      <c r="BK315" s="740"/>
      <c r="BL315" s="740"/>
      <c r="BM315" s="740"/>
      <c r="BN315" s="740"/>
      <c r="BO315" s="740"/>
      <c r="BP315" s="740"/>
      <c r="BQ315" s="740"/>
      <c r="BR315" s="740"/>
      <c r="BS315" s="740"/>
      <c r="BT315" s="740"/>
      <c r="BU315" s="740"/>
      <c r="BV315" s="740"/>
      <c r="BW315" s="740"/>
      <c r="BX315" s="740"/>
      <c r="BY315" s="740"/>
      <c r="BZ315" s="740"/>
      <c r="CA315" s="740"/>
      <c r="CB315" s="740"/>
      <c r="CC315" s="740"/>
      <c r="CD315" s="740"/>
      <c r="CE315" s="740"/>
      <c r="CF315" s="740"/>
      <c r="CG315" s="740"/>
      <c r="CH315" s="740"/>
      <c r="CI315" s="740"/>
      <c r="CJ315" s="740"/>
      <c r="CK315" s="740"/>
      <c r="CL315" s="740"/>
      <c r="CM315" s="740"/>
      <c r="CN315" s="740"/>
      <c r="CO315" s="740"/>
      <c r="CP315" s="740"/>
      <c r="CQ315" s="740"/>
      <c r="CR315" s="740"/>
      <c r="CS315" s="740"/>
      <c r="CT315" s="740"/>
      <c r="CU315" s="740"/>
      <c r="CV315" s="740"/>
      <c r="CW315" s="740"/>
      <c r="CX315" s="740"/>
      <c r="CY315" s="740"/>
      <c r="CZ315" s="740"/>
      <c r="DA315" s="740"/>
      <c r="DB315" s="740"/>
      <c r="DC315" s="740"/>
      <c r="DD315" s="740"/>
      <c r="DE315" s="740"/>
      <c r="DF315" s="740"/>
      <c r="DG315" s="740"/>
      <c r="DH315" s="740"/>
      <c r="DI315" s="740"/>
      <c r="DJ315" s="740"/>
      <c r="DK315" s="740"/>
      <c r="DL315" s="740"/>
      <c r="DM315" s="740"/>
      <c r="DN315" s="740"/>
      <c r="DO315" s="740"/>
      <c r="DP315" s="740"/>
      <c r="DQ315" s="740"/>
      <c r="DR315" s="740"/>
      <c r="DS315" s="740"/>
      <c r="DT315" s="740"/>
      <c r="DU315" s="740"/>
      <c r="DV315" s="740"/>
      <c r="DW315" s="740"/>
      <c r="DX315" s="740"/>
      <c r="DY315" s="740"/>
      <c r="DZ315" s="740"/>
      <c r="EA315" s="740"/>
      <c r="EB315" s="740"/>
      <c r="EC315" s="740"/>
      <c r="ED315" s="740"/>
      <c r="EE315" s="740"/>
      <c r="EF315" s="740"/>
      <c r="EG315" s="740"/>
      <c r="EH315" s="740"/>
      <c r="EI315" s="740"/>
      <c r="EJ315" s="740"/>
      <c r="EK315" s="740"/>
      <c r="EL315" s="740"/>
      <c r="EM315" s="740"/>
      <c r="EN315" s="740"/>
      <c r="EO315" s="740"/>
      <c r="EP315" s="740"/>
      <c r="EQ315" s="740"/>
      <c r="ER315" s="740"/>
      <c r="ES315" s="740"/>
      <c r="ET315" s="740"/>
      <c r="EU315" s="740"/>
      <c r="EV315" s="740"/>
      <c r="EW315" s="740"/>
      <c r="EX315" s="740"/>
      <c r="EY315" s="740"/>
      <c r="EZ315" s="740"/>
      <c r="FA315" s="740"/>
      <c r="FB315" s="740"/>
      <c r="FC315" s="740"/>
      <c r="FD315" s="740"/>
      <c r="FE315" s="740"/>
      <c r="FF315" s="740"/>
      <c r="FG315" s="740"/>
      <c r="FH315" s="740"/>
      <c r="FI315" s="740"/>
      <c r="FJ315" s="740"/>
      <c r="FK315" s="740"/>
      <c r="FL315" s="740"/>
      <c r="FM315" s="740"/>
      <c r="FN315" s="740"/>
      <c r="FO315" s="740"/>
      <c r="FP315" s="740"/>
      <c r="FQ315" s="740"/>
      <c r="FR315" s="740"/>
      <c r="FS315" s="740"/>
      <c r="FT315" s="740"/>
      <c r="FU315" s="740"/>
      <c r="FV315" s="740"/>
      <c r="FW315" s="740"/>
      <c r="FX315" s="740"/>
      <c r="FY315" s="740"/>
      <c r="FZ315" s="740"/>
      <c r="GA315" s="740"/>
      <c r="GB315" s="740"/>
      <c r="GC315" s="740"/>
      <c r="GD315" s="740"/>
      <c r="GE315" s="740"/>
      <c r="GF315" s="740"/>
      <c r="GG315" s="740"/>
      <c r="GH315" s="740"/>
      <c r="GI315" s="740"/>
      <c r="GJ315" s="740"/>
      <c r="GK315" s="740"/>
      <c r="GL315" s="740"/>
      <c r="GM315" s="740"/>
      <c r="GN315" s="740"/>
      <c r="GO315" s="740"/>
      <c r="GP315" s="740"/>
      <c r="GQ315" s="740"/>
      <c r="GR315" s="740"/>
      <c r="GS315" s="740"/>
      <c r="GT315" s="740"/>
      <c r="GU315" s="740"/>
      <c r="GV315" s="740"/>
      <c r="GW315" s="740"/>
    </row>
    <row r="316" spans="18:205" ht="24" customHeight="1" x14ac:dyDescent="0.2">
      <c r="R316" s="740"/>
      <c r="S316" s="740"/>
      <c r="T316" s="740"/>
      <c r="U316" s="740"/>
      <c r="V316" s="740"/>
      <c r="W316" s="740"/>
      <c r="X316" s="740"/>
      <c r="Y316" s="740"/>
      <c r="Z316" s="740"/>
      <c r="AA316" s="740"/>
      <c r="AB316" s="740"/>
      <c r="AC316" s="740"/>
      <c r="AD316" s="740"/>
      <c r="AE316" s="740"/>
      <c r="AF316" s="740"/>
      <c r="AG316" s="740"/>
      <c r="AH316" s="740"/>
      <c r="AI316" s="740"/>
      <c r="AJ316" s="740"/>
      <c r="AK316" s="740"/>
      <c r="AL316" s="740"/>
      <c r="AM316" s="740"/>
      <c r="AN316" s="740"/>
      <c r="AO316" s="740"/>
      <c r="AP316" s="740"/>
      <c r="AQ316" s="740"/>
      <c r="AR316" s="740"/>
      <c r="AS316" s="740"/>
      <c r="AT316" s="740"/>
      <c r="AU316" s="740"/>
      <c r="AV316" s="740"/>
      <c r="AW316" s="740"/>
      <c r="AX316" s="740"/>
      <c r="AY316" s="740"/>
      <c r="AZ316" s="740"/>
      <c r="BA316" s="740"/>
      <c r="BB316" s="740"/>
      <c r="BC316" s="740"/>
      <c r="BD316" s="740"/>
      <c r="BE316" s="740"/>
      <c r="BF316" s="740"/>
      <c r="BG316" s="740"/>
      <c r="BH316" s="740"/>
      <c r="BI316" s="740"/>
      <c r="BJ316" s="740"/>
      <c r="BK316" s="740"/>
      <c r="BL316" s="740"/>
      <c r="BM316" s="740"/>
      <c r="BN316" s="740"/>
      <c r="BO316" s="740"/>
      <c r="BP316" s="740"/>
      <c r="BQ316" s="740"/>
      <c r="BR316" s="740"/>
      <c r="BS316" s="740"/>
      <c r="BT316" s="740"/>
      <c r="BU316" s="740"/>
      <c r="BV316" s="740"/>
      <c r="BW316" s="740"/>
      <c r="BX316" s="740"/>
      <c r="BY316" s="740"/>
      <c r="BZ316" s="740"/>
      <c r="CA316" s="740"/>
      <c r="CB316" s="740"/>
      <c r="CC316" s="740"/>
      <c r="CD316" s="740"/>
      <c r="CE316" s="740"/>
      <c r="CF316" s="740"/>
      <c r="CG316" s="740"/>
      <c r="CH316" s="740"/>
      <c r="CI316" s="740"/>
      <c r="CJ316" s="740"/>
      <c r="CK316" s="740"/>
      <c r="CL316" s="740"/>
      <c r="CM316" s="740"/>
      <c r="CN316" s="740"/>
      <c r="CO316" s="740"/>
      <c r="CP316" s="740"/>
      <c r="CQ316" s="740"/>
      <c r="CR316" s="740"/>
      <c r="CS316" s="740"/>
      <c r="CT316" s="740"/>
      <c r="CU316" s="740"/>
      <c r="CV316" s="740"/>
      <c r="CW316" s="740"/>
      <c r="CX316" s="740"/>
      <c r="CY316" s="740"/>
      <c r="CZ316" s="740"/>
      <c r="DA316" s="740"/>
      <c r="DB316" s="740"/>
      <c r="DC316" s="740"/>
      <c r="DD316" s="740"/>
      <c r="DE316" s="740"/>
      <c r="DF316" s="740"/>
      <c r="DG316" s="740"/>
      <c r="DH316" s="740"/>
      <c r="DI316" s="740"/>
      <c r="DJ316" s="740"/>
      <c r="DK316" s="740"/>
      <c r="DL316" s="740"/>
      <c r="DM316" s="740"/>
      <c r="DN316" s="740"/>
      <c r="DO316" s="740"/>
      <c r="DP316" s="740"/>
      <c r="DQ316" s="740"/>
      <c r="DR316" s="740"/>
      <c r="DS316" s="740"/>
      <c r="DT316" s="740"/>
      <c r="DU316" s="740"/>
      <c r="DV316" s="740"/>
      <c r="DW316" s="740"/>
      <c r="DX316" s="740"/>
      <c r="DY316" s="740"/>
      <c r="DZ316" s="740"/>
      <c r="EA316" s="740"/>
      <c r="EB316" s="740"/>
      <c r="EC316" s="740"/>
      <c r="ED316" s="740"/>
      <c r="EE316" s="740"/>
      <c r="EF316" s="740"/>
      <c r="EG316" s="740"/>
      <c r="EH316" s="740"/>
      <c r="EI316" s="740"/>
      <c r="EJ316" s="740"/>
      <c r="EK316" s="740"/>
      <c r="EL316" s="740"/>
      <c r="EM316" s="740"/>
      <c r="EN316" s="740"/>
      <c r="EO316" s="740"/>
      <c r="EP316" s="740"/>
      <c r="EQ316" s="740"/>
      <c r="ER316" s="740"/>
      <c r="ES316" s="740"/>
      <c r="ET316" s="740"/>
      <c r="EU316" s="740"/>
      <c r="EV316" s="740"/>
      <c r="EW316" s="740"/>
      <c r="EX316" s="740"/>
      <c r="EY316" s="740"/>
      <c r="EZ316" s="740"/>
      <c r="FA316" s="740"/>
      <c r="FB316" s="740"/>
      <c r="FC316" s="740"/>
      <c r="FD316" s="740"/>
      <c r="FE316" s="740"/>
      <c r="FF316" s="740"/>
      <c r="FG316" s="740"/>
      <c r="FH316" s="740"/>
      <c r="FI316" s="740"/>
      <c r="FJ316" s="740"/>
      <c r="FK316" s="740"/>
      <c r="FL316" s="740"/>
      <c r="FM316" s="740"/>
      <c r="FN316" s="740"/>
      <c r="FO316" s="740"/>
      <c r="FP316" s="740"/>
      <c r="FQ316" s="740"/>
      <c r="FR316" s="740"/>
      <c r="FS316" s="740"/>
      <c r="FT316" s="740"/>
      <c r="FU316" s="740"/>
      <c r="FV316" s="740"/>
      <c r="FW316" s="740"/>
      <c r="FX316" s="740"/>
      <c r="FY316" s="740"/>
      <c r="FZ316" s="740"/>
      <c r="GA316" s="740"/>
      <c r="GB316" s="740"/>
      <c r="GC316" s="740"/>
      <c r="GD316" s="740"/>
      <c r="GE316" s="740"/>
      <c r="GF316" s="740"/>
      <c r="GG316" s="740"/>
      <c r="GH316" s="740"/>
      <c r="GI316" s="740"/>
      <c r="GJ316" s="740"/>
      <c r="GK316" s="740"/>
      <c r="GL316" s="740"/>
      <c r="GM316" s="740"/>
      <c r="GN316" s="740"/>
      <c r="GO316" s="740"/>
      <c r="GP316" s="740"/>
      <c r="GQ316" s="740"/>
      <c r="GR316" s="740"/>
      <c r="GS316" s="740"/>
      <c r="GT316" s="740"/>
      <c r="GU316" s="740"/>
      <c r="GV316" s="740"/>
      <c r="GW316" s="740"/>
    </row>
    <row r="317" spans="18:205" ht="24" customHeight="1" x14ac:dyDescent="0.2">
      <c r="R317" s="740"/>
      <c r="S317" s="740"/>
      <c r="T317" s="740"/>
      <c r="U317" s="740"/>
      <c r="V317" s="740"/>
      <c r="W317" s="740"/>
      <c r="X317" s="740"/>
      <c r="Y317" s="740"/>
      <c r="Z317" s="740"/>
      <c r="AA317" s="740"/>
      <c r="AB317" s="740"/>
      <c r="AC317" s="740"/>
      <c r="AD317" s="740"/>
      <c r="AE317" s="740"/>
      <c r="AF317" s="740"/>
      <c r="AG317" s="740"/>
      <c r="AH317" s="740"/>
      <c r="AI317" s="740"/>
      <c r="AJ317" s="740"/>
      <c r="AK317" s="740"/>
      <c r="AL317" s="740"/>
      <c r="AM317" s="740"/>
      <c r="AN317" s="740"/>
      <c r="AO317" s="740"/>
      <c r="AP317" s="740"/>
      <c r="AQ317" s="740"/>
      <c r="AR317" s="740"/>
      <c r="AS317" s="740"/>
      <c r="AT317" s="740"/>
      <c r="AU317" s="740"/>
      <c r="AV317" s="740"/>
      <c r="AW317" s="740"/>
      <c r="AX317" s="740"/>
      <c r="AY317" s="740"/>
      <c r="AZ317" s="740"/>
      <c r="BA317" s="740"/>
      <c r="BB317" s="740"/>
      <c r="BC317" s="740"/>
      <c r="BD317" s="740"/>
      <c r="BE317" s="740"/>
      <c r="BF317" s="740"/>
      <c r="BG317" s="740"/>
      <c r="BH317" s="740"/>
      <c r="BI317" s="740"/>
      <c r="BJ317" s="740"/>
      <c r="BK317" s="740"/>
      <c r="BL317" s="740"/>
      <c r="BM317" s="740"/>
      <c r="BN317" s="740"/>
      <c r="BO317" s="740"/>
      <c r="BP317" s="740"/>
      <c r="BQ317" s="740"/>
      <c r="BR317" s="740"/>
      <c r="BS317" s="740"/>
      <c r="BT317" s="740"/>
      <c r="BU317" s="740"/>
      <c r="BV317" s="740"/>
      <c r="BW317" s="740"/>
      <c r="BX317" s="740"/>
      <c r="BY317" s="740"/>
      <c r="BZ317" s="740"/>
      <c r="CA317" s="740"/>
      <c r="CB317" s="740"/>
      <c r="CC317" s="740"/>
      <c r="CD317" s="740"/>
      <c r="CE317" s="740"/>
      <c r="CF317" s="740"/>
      <c r="CG317" s="740"/>
      <c r="CH317" s="740"/>
      <c r="CI317" s="740"/>
      <c r="CJ317" s="740"/>
      <c r="CK317" s="740"/>
      <c r="CL317" s="740"/>
      <c r="CM317" s="740"/>
      <c r="CN317" s="740"/>
      <c r="CO317" s="740"/>
      <c r="CP317" s="740"/>
      <c r="CQ317" s="740"/>
      <c r="CR317" s="740"/>
      <c r="CS317" s="740"/>
      <c r="CT317" s="740"/>
      <c r="CU317" s="740"/>
      <c r="CV317" s="740"/>
      <c r="CW317" s="740"/>
      <c r="CX317" s="740"/>
      <c r="CY317" s="740"/>
      <c r="CZ317" s="740"/>
      <c r="DA317" s="740"/>
      <c r="DB317" s="740"/>
      <c r="DC317" s="740"/>
      <c r="DD317" s="740"/>
      <c r="DE317" s="740"/>
      <c r="DF317" s="740"/>
      <c r="DG317" s="740"/>
      <c r="DH317" s="740"/>
      <c r="DI317" s="740"/>
      <c r="DJ317" s="740"/>
      <c r="DK317" s="740"/>
      <c r="DL317" s="740"/>
      <c r="DM317" s="740"/>
      <c r="DN317" s="740"/>
      <c r="DO317" s="740"/>
      <c r="DP317" s="740"/>
      <c r="DQ317" s="740"/>
      <c r="DR317" s="740"/>
      <c r="DS317" s="740"/>
      <c r="DT317" s="740"/>
      <c r="DU317" s="740"/>
      <c r="DV317" s="740"/>
      <c r="DW317" s="740"/>
      <c r="DX317" s="740"/>
      <c r="DY317" s="740"/>
      <c r="DZ317" s="740"/>
      <c r="EA317" s="740"/>
      <c r="EB317" s="740"/>
      <c r="EC317" s="740"/>
      <c r="ED317" s="740"/>
      <c r="EE317" s="740"/>
      <c r="EF317" s="740"/>
      <c r="EG317" s="740"/>
      <c r="EH317" s="740"/>
      <c r="EI317" s="740"/>
      <c r="EJ317" s="740"/>
      <c r="EK317" s="740"/>
      <c r="EL317" s="740"/>
      <c r="EM317" s="740"/>
      <c r="EN317" s="740"/>
      <c r="EO317" s="740"/>
      <c r="EP317" s="740"/>
      <c r="EQ317" s="740"/>
      <c r="ER317" s="740"/>
      <c r="ES317" s="740"/>
      <c r="ET317" s="740"/>
      <c r="EU317" s="740"/>
      <c r="EV317" s="740"/>
      <c r="EW317" s="740"/>
      <c r="EX317" s="740"/>
      <c r="EY317" s="740"/>
      <c r="EZ317" s="740"/>
      <c r="FA317" s="740"/>
      <c r="FB317" s="740"/>
      <c r="FC317" s="740"/>
      <c r="FD317" s="740"/>
      <c r="FE317" s="740"/>
      <c r="FF317" s="740"/>
      <c r="FG317" s="740"/>
      <c r="FH317" s="740"/>
      <c r="FI317" s="740"/>
      <c r="FJ317" s="740"/>
      <c r="FK317" s="740"/>
      <c r="FL317" s="740"/>
      <c r="FM317" s="740"/>
      <c r="FN317" s="740"/>
      <c r="FO317" s="740"/>
      <c r="FP317" s="740"/>
      <c r="FQ317" s="740"/>
      <c r="FR317" s="740"/>
      <c r="FS317" s="740"/>
      <c r="FT317" s="740"/>
      <c r="FU317" s="740"/>
      <c r="FV317" s="740"/>
      <c r="FW317" s="740"/>
      <c r="FX317" s="740"/>
      <c r="FY317" s="740"/>
      <c r="FZ317" s="740"/>
      <c r="GA317" s="740"/>
      <c r="GB317" s="740"/>
      <c r="GC317" s="740"/>
      <c r="GD317" s="740"/>
      <c r="GE317" s="740"/>
      <c r="GF317" s="740"/>
      <c r="GG317" s="740"/>
      <c r="GH317" s="740"/>
      <c r="GI317" s="740"/>
      <c r="GJ317" s="740"/>
      <c r="GK317" s="740"/>
      <c r="GL317" s="740"/>
      <c r="GM317" s="740"/>
      <c r="GN317" s="740"/>
      <c r="GO317" s="740"/>
      <c r="GP317" s="740"/>
      <c r="GQ317" s="740"/>
      <c r="GR317" s="740"/>
      <c r="GS317" s="740"/>
      <c r="GT317" s="740"/>
      <c r="GU317" s="740"/>
      <c r="GV317" s="740"/>
      <c r="GW317" s="740"/>
    </row>
    <row r="318" spans="18:205" ht="24" customHeight="1" x14ac:dyDescent="0.2">
      <c r="R318" s="740"/>
      <c r="S318" s="740"/>
      <c r="T318" s="740"/>
      <c r="U318" s="740"/>
      <c r="V318" s="740"/>
      <c r="W318" s="740"/>
      <c r="X318" s="740"/>
      <c r="Y318" s="740"/>
      <c r="Z318" s="740"/>
      <c r="AA318" s="740"/>
      <c r="AB318" s="740"/>
      <c r="AC318" s="740"/>
      <c r="AD318" s="740"/>
      <c r="AE318" s="740"/>
      <c r="AF318" s="740"/>
      <c r="AG318" s="740"/>
      <c r="AH318" s="740"/>
      <c r="AI318" s="740"/>
      <c r="AJ318" s="740"/>
      <c r="AK318" s="740"/>
      <c r="AL318" s="740"/>
      <c r="AM318" s="740"/>
      <c r="AN318" s="740"/>
      <c r="AO318" s="740"/>
      <c r="AP318" s="740"/>
      <c r="AQ318" s="740"/>
      <c r="AR318" s="740"/>
      <c r="AS318" s="740"/>
      <c r="AT318" s="740"/>
      <c r="AU318" s="740"/>
      <c r="AV318" s="740"/>
      <c r="AW318" s="740"/>
      <c r="AX318" s="740"/>
      <c r="AY318" s="740"/>
      <c r="AZ318" s="740"/>
      <c r="BA318" s="740"/>
      <c r="BB318" s="740"/>
      <c r="BC318" s="740"/>
      <c r="BD318" s="740"/>
      <c r="BE318" s="740"/>
      <c r="BF318" s="740"/>
      <c r="BG318" s="740"/>
      <c r="BH318" s="740"/>
      <c r="BI318" s="740"/>
      <c r="BJ318" s="740"/>
      <c r="BK318" s="740"/>
      <c r="BL318" s="740"/>
      <c r="BM318" s="740"/>
      <c r="BN318" s="740"/>
      <c r="BO318" s="740"/>
      <c r="BP318" s="740"/>
      <c r="BQ318" s="740"/>
      <c r="BR318" s="740"/>
      <c r="BS318" s="740"/>
      <c r="BT318" s="740"/>
      <c r="BU318" s="740"/>
      <c r="BV318" s="740"/>
      <c r="BW318" s="740"/>
      <c r="BX318" s="740"/>
      <c r="BY318" s="740"/>
      <c r="BZ318" s="740"/>
      <c r="CA318" s="740"/>
      <c r="CB318" s="740"/>
      <c r="CC318" s="740"/>
      <c r="CD318" s="740"/>
      <c r="CE318" s="740"/>
      <c r="CF318" s="740"/>
      <c r="CG318" s="740"/>
      <c r="CH318" s="740"/>
      <c r="CI318" s="740"/>
      <c r="CJ318" s="740"/>
      <c r="CK318" s="740"/>
      <c r="CL318" s="740"/>
      <c r="CM318" s="740"/>
      <c r="CN318" s="740"/>
      <c r="CO318" s="740"/>
      <c r="CP318" s="740"/>
      <c r="CQ318" s="740"/>
      <c r="CR318" s="740"/>
      <c r="CS318" s="740"/>
      <c r="CT318" s="740"/>
      <c r="CU318" s="740"/>
      <c r="CV318" s="740"/>
      <c r="CW318" s="740"/>
      <c r="CX318" s="740"/>
      <c r="CY318" s="740"/>
      <c r="CZ318" s="740"/>
      <c r="DA318" s="740"/>
      <c r="DB318" s="740"/>
      <c r="DC318" s="740"/>
      <c r="DD318" s="740"/>
      <c r="DE318" s="740"/>
      <c r="DF318" s="740"/>
      <c r="DG318" s="740"/>
      <c r="DH318" s="740"/>
      <c r="DI318" s="740"/>
      <c r="DJ318" s="740"/>
      <c r="DK318" s="740"/>
      <c r="DL318" s="740"/>
      <c r="DM318" s="740"/>
      <c r="DN318" s="740"/>
      <c r="DO318" s="740"/>
      <c r="DP318" s="740"/>
      <c r="DQ318" s="740"/>
      <c r="DR318" s="740"/>
      <c r="DS318" s="740"/>
      <c r="DT318" s="740"/>
      <c r="DU318" s="740"/>
      <c r="DV318" s="740"/>
      <c r="DW318" s="740"/>
      <c r="DX318" s="740"/>
      <c r="DY318" s="740"/>
      <c r="DZ318" s="740"/>
      <c r="EA318" s="740"/>
      <c r="EB318" s="740"/>
      <c r="EC318" s="740"/>
      <c r="ED318" s="740"/>
      <c r="EE318" s="740"/>
      <c r="EF318" s="740"/>
      <c r="EG318" s="740"/>
      <c r="EH318" s="740"/>
      <c r="EI318" s="740"/>
      <c r="EJ318" s="740"/>
      <c r="EK318" s="740"/>
      <c r="EL318" s="740"/>
      <c r="EM318" s="740"/>
      <c r="EN318" s="740"/>
      <c r="EO318" s="740"/>
      <c r="EP318" s="740"/>
      <c r="EQ318" s="740"/>
      <c r="ER318" s="740"/>
      <c r="ES318" s="740"/>
      <c r="ET318" s="740"/>
      <c r="EU318" s="740"/>
      <c r="EV318" s="740"/>
      <c r="EW318" s="740"/>
      <c r="EX318" s="740"/>
      <c r="EY318" s="740"/>
      <c r="EZ318" s="740"/>
      <c r="FA318" s="740"/>
      <c r="FB318" s="740"/>
      <c r="FC318" s="740"/>
      <c r="FD318" s="740"/>
      <c r="FE318" s="740"/>
      <c r="FF318" s="740"/>
      <c r="FG318" s="740"/>
      <c r="FH318" s="740"/>
      <c r="FI318" s="740"/>
      <c r="FJ318" s="740"/>
      <c r="FK318" s="740"/>
      <c r="FL318" s="740"/>
      <c r="FM318" s="740"/>
      <c r="FN318" s="740"/>
      <c r="FO318" s="740"/>
      <c r="FP318" s="740"/>
      <c r="FQ318" s="740"/>
      <c r="FR318" s="740"/>
      <c r="FS318" s="740"/>
      <c r="FT318" s="740"/>
      <c r="FU318" s="740"/>
      <c r="FV318" s="740"/>
      <c r="FW318" s="740"/>
      <c r="FX318" s="740"/>
      <c r="FY318" s="740"/>
      <c r="FZ318" s="740"/>
      <c r="GA318" s="740"/>
      <c r="GB318" s="740"/>
      <c r="GC318" s="740"/>
      <c r="GD318" s="740"/>
      <c r="GE318" s="740"/>
      <c r="GF318" s="740"/>
      <c r="GG318" s="740"/>
      <c r="GH318" s="740"/>
      <c r="GI318" s="740"/>
      <c r="GJ318" s="740"/>
      <c r="GK318" s="740"/>
      <c r="GL318" s="740"/>
      <c r="GM318" s="740"/>
      <c r="GN318" s="740"/>
      <c r="GO318" s="740"/>
      <c r="GP318" s="740"/>
      <c r="GQ318" s="740"/>
      <c r="GR318" s="740"/>
      <c r="GS318" s="740"/>
      <c r="GT318" s="740"/>
      <c r="GU318" s="740"/>
      <c r="GV318" s="740"/>
      <c r="GW318" s="740"/>
    </row>
    <row r="319" spans="18:205" ht="24" customHeight="1" x14ac:dyDescent="0.2">
      <c r="R319" s="740"/>
      <c r="S319" s="740"/>
      <c r="T319" s="740"/>
      <c r="U319" s="740"/>
      <c r="V319" s="740"/>
      <c r="W319" s="740"/>
      <c r="X319" s="740"/>
      <c r="Y319" s="740"/>
      <c r="Z319" s="740"/>
      <c r="AA319" s="740"/>
      <c r="AB319" s="740"/>
      <c r="AC319" s="740"/>
      <c r="AD319" s="740"/>
      <c r="AE319" s="740"/>
      <c r="AF319" s="740"/>
      <c r="AG319" s="740"/>
      <c r="AH319" s="740"/>
      <c r="AI319" s="740"/>
      <c r="AJ319" s="740"/>
      <c r="AK319" s="740"/>
      <c r="AL319" s="740"/>
      <c r="AM319" s="740"/>
      <c r="AN319" s="740"/>
      <c r="AO319" s="740"/>
      <c r="AP319" s="740"/>
      <c r="AQ319" s="740"/>
      <c r="AR319" s="740"/>
      <c r="AS319" s="740"/>
      <c r="AT319" s="740"/>
      <c r="AU319" s="740"/>
      <c r="AV319" s="740"/>
      <c r="AW319" s="740"/>
      <c r="AX319" s="740"/>
      <c r="AY319" s="740"/>
      <c r="AZ319" s="740"/>
      <c r="BA319" s="740"/>
      <c r="BB319" s="740"/>
      <c r="BC319" s="740"/>
      <c r="BD319" s="740"/>
      <c r="BE319" s="740"/>
      <c r="BF319" s="740"/>
      <c r="BG319" s="740"/>
      <c r="BH319" s="740"/>
      <c r="BI319" s="740"/>
      <c r="BJ319" s="740"/>
      <c r="BK319" s="740"/>
      <c r="BL319" s="740"/>
      <c r="BM319" s="740"/>
      <c r="BN319" s="740"/>
      <c r="BO319" s="740"/>
      <c r="BP319" s="740"/>
      <c r="BQ319" s="740"/>
      <c r="BR319" s="740"/>
      <c r="BS319" s="740"/>
      <c r="BT319" s="740"/>
      <c r="BU319" s="740"/>
      <c r="BV319" s="740"/>
      <c r="BW319" s="740"/>
      <c r="BX319" s="740"/>
      <c r="BY319" s="740"/>
      <c r="BZ319" s="740"/>
      <c r="CA319" s="740"/>
      <c r="CB319" s="740"/>
      <c r="CC319" s="740"/>
      <c r="CD319" s="740"/>
      <c r="CE319" s="740"/>
      <c r="CF319" s="740"/>
      <c r="CG319" s="740"/>
      <c r="CH319" s="740"/>
      <c r="CI319" s="740"/>
      <c r="CJ319" s="740"/>
      <c r="CK319" s="740"/>
      <c r="CL319" s="740"/>
      <c r="CM319" s="740"/>
      <c r="CN319" s="740"/>
      <c r="CO319" s="740"/>
      <c r="CP319" s="740"/>
      <c r="CQ319" s="740"/>
      <c r="CR319" s="740"/>
      <c r="CS319" s="740"/>
      <c r="CT319" s="740"/>
      <c r="CU319" s="740"/>
      <c r="CV319" s="740"/>
      <c r="CW319" s="740"/>
      <c r="CX319" s="740"/>
      <c r="CY319" s="740"/>
      <c r="CZ319" s="740"/>
      <c r="DA319" s="740"/>
      <c r="DB319" s="740"/>
      <c r="DC319" s="740"/>
      <c r="DD319" s="740"/>
      <c r="DE319" s="740"/>
      <c r="DF319" s="740"/>
      <c r="DG319" s="740"/>
      <c r="DH319" s="740"/>
      <c r="DI319" s="740"/>
      <c r="DJ319" s="740"/>
      <c r="DK319" s="740"/>
      <c r="DL319" s="740"/>
      <c r="DM319" s="740"/>
      <c r="DN319" s="740"/>
      <c r="DO319" s="740"/>
      <c r="DP319" s="740"/>
      <c r="DQ319" s="740"/>
      <c r="DR319" s="740"/>
      <c r="DS319" s="740"/>
      <c r="DT319" s="740"/>
      <c r="DU319" s="740"/>
      <c r="DV319" s="740"/>
      <c r="DW319" s="740"/>
      <c r="DX319" s="740"/>
      <c r="DY319" s="740"/>
      <c r="DZ319" s="740"/>
      <c r="EA319" s="740"/>
      <c r="EB319" s="740"/>
      <c r="EC319" s="740"/>
      <c r="ED319" s="740"/>
      <c r="EE319" s="740"/>
      <c r="EF319" s="740"/>
      <c r="EG319" s="740"/>
      <c r="EH319" s="740"/>
      <c r="EI319" s="740"/>
      <c r="EJ319" s="740"/>
      <c r="EK319" s="740"/>
      <c r="EL319" s="740"/>
      <c r="EM319" s="740"/>
      <c r="EN319" s="740"/>
      <c r="EO319" s="740"/>
      <c r="EP319" s="740"/>
      <c r="EQ319" s="740"/>
      <c r="ER319" s="740"/>
      <c r="ES319" s="740"/>
      <c r="ET319" s="740"/>
      <c r="EU319" s="740"/>
      <c r="EV319" s="740"/>
      <c r="EW319" s="740"/>
      <c r="EX319" s="740"/>
      <c r="EY319" s="740"/>
      <c r="EZ319" s="740"/>
      <c r="FA319" s="740"/>
      <c r="FB319" s="740"/>
      <c r="FC319" s="740"/>
      <c r="FD319" s="740"/>
      <c r="FE319" s="740"/>
      <c r="FF319" s="740"/>
      <c r="FG319" s="740"/>
      <c r="FH319" s="740"/>
      <c r="FI319" s="740"/>
      <c r="FJ319" s="740"/>
      <c r="FK319" s="740"/>
      <c r="FL319" s="740"/>
      <c r="FM319" s="740"/>
      <c r="FN319" s="740"/>
      <c r="FO319" s="740"/>
      <c r="FP319" s="740"/>
      <c r="FQ319" s="740"/>
      <c r="FR319" s="740"/>
      <c r="FS319" s="740"/>
      <c r="FT319" s="740"/>
      <c r="FU319" s="740"/>
      <c r="FV319" s="740"/>
      <c r="FW319" s="740"/>
      <c r="FX319" s="740"/>
      <c r="FY319" s="740"/>
      <c r="FZ319" s="740"/>
      <c r="GA319" s="740"/>
      <c r="GB319" s="740"/>
      <c r="GC319" s="740"/>
      <c r="GD319" s="740"/>
      <c r="GE319" s="740"/>
      <c r="GF319" s="740"/>
      <c r="GG319" s="740"/>
      <c r="GH319" s="740"/>
      <c r="GI319" s="740"/>
      <c r="GJ319" s="740"/>
      <c r="GK319" s="740"/>
      <c r="GL319" s="740"/>
      <c r="GM319" s="740"/>
      <c r="GN319" s="740"/>
      <c r="GO319" s="740"/>
      <c r="GP319" s="740"/>
      <c r="GQ319" s="740"/>
      <c r="GR319" s="740"/>
      <c r="GS319" s="740"/>
      <c r="GT319" s="740"/>
      <c r="GU319" s="740"/>
      <c r="GV319" s="740"/>
      <c r="GW319" s="740"/>
    </row>
    <row r="320" spans="18:205" ht="24" customHeight="1" x14ac:dyDescent="0.2">
      <c r="R320" s="740"/>
      <c r="S320" s="740"/>
      <c r="T320" s="740"/>
      <c r="U320" s="740"/>
      <c r="V320" s="740"/>
      <c r="W320" s="740"/>
      <c r="X320" s="740"/>
      <c r="Y320" s="740"/>
      <c r="Z320" s="740"/>
      <c r="AA320" s="740"/>
      <c r="AB320" s="740"/>
      <c r="AC320" s="740"/>
      <c r="AD320" s="740"/>
      <c r="AE320" s="740"/>
      <c r="AF320" s="740"/>
      <c r="AG320" s="740"/>
      <c r="AH320" s="740"/>
      <c r="AI320" s="740"/>
      <c r="AJ320" s="740"/>
      <c r="AK320" s="740"/>
      <c r="AL320" s="740"/>
      <c r="AM320" s="740"/>
      <c r="AN320" s="740"/>
      <c r="AO320" s="740"/>
      <c r="AP320" s="740"/>
      <c r="AQ320" s="740"/>
      <c r="AR320" s="740"/>
      <c r="AS320" s="740"/>
      <c r="AT320" s="740"/>
      <c r="AU320" s="740"/>
      <c r="AV320" s="740"/>
      <c r="AW320" s="740"/>
      <c r="AX320" s="740"/>
      <c r="AY320" s="740"/>
      <c r="AZ320" s="740"/>
      <c r="BA320" s="740"/>
      <c r="BB320" s="740"/>
      <c r="BC320" s="740"/>
      <c r="BD320" s="740"/>
      <c r="BE320" s="740"/>
      <c r="BF320" s="740"/>
      <c r="BG320" s="740"/>
      <c r="BH320" s="740"/>
      <c r="BI320" s="740"/>
      <c r="BJ320" s="740"/>
      <c r="BK320" s="740"/>
      <c r="BL320" s="740"/>
      <c r="BM320" s="740"/>
      <c r="BN320" s="740"/>
      <c r="BO320" s="740"/>
      <c r="BP320" s="740"/>
      <c r="BQ320" s="740"/>
      <c r="BR320" s="740"/>
      <c r="BS320" s="740"/>
      <c r="BT320" s="740"/>
      <c r="BU320" s="740"/>
      <c r="BV320" s="740"/>
      <c r="BW320" s="740"/>
      <c r="BX320" s="740"/>
      <c r="BY320" s="740"/>
      <c r="BZ320" s="740"/>
      <c r="CA320" s="740"/>
      <c r="CB320" s="740"/>
      <c r="CC320" s="740"/>
      <c r="CD320" s="740"/>
      <c r="CE320" s="740"/>
      <c r="CF320" s="740"/>
      <c r="CG320" s="740"/>
      <c r="CH320" s="740"/>
      <c r="CI320" s="740"/>
      <c r="CJ320" s="740"/>
      <c r="CK320" s="740"/>
      <c r="CL320" s="740"/>
      <c r="CM320" s="740"/>
      <c r="CN320" s="740"/>
      <c r="CO320" s="740"/>
      <c r="CP320" s="740"/>
      <c r="CQ320" s="740"/>
      <c r="CR320" s="740"/>
      <c r="CS320" s="740"/>
      <c r="CT320" s="740"/>
      <c r="CU320" s="740"/>
      <c r="CV320" s="740"/>
      <c r="CW320" s="740"/>
      <c r="CX320" s="740"/>
      <c r="CY320" s="740"/>
      <c r="CZ320" s="740"/>
      <c r="DA320" s="740"/>
      <c r="DB320" s="740"/>
      <c r="DC320" s="740"/>
      <c r="DD320" s="740"/>
      <c r="DE320" s="740"/>
      <c r="DF320" s="740"/>
      <c r="DG320" s="740"/>
      <c r="DH320" s="740"/>
      <c r="DI320" s="740"/>
      <c r="DJ320" s="740"/>
      <c r="DK320" s="740"/>
      <c r="DL320" s="740"/>
      <c r="DM320" s="740"/>
      <c r="DN320" s="740"/>
      <c r="DO320" s="740"/>
      <c r="DP320" s="740"/>
      <c r="DQ320" s="740"/>
      <c r="DR320" s="740"/>
      <c r="DS320" s="740"/>
      <c r="DT320" s="740"/>
      <c r="DU320" s="740"/>
      <c r="DV320" s="740"/>
      <c r="DW320" s="740"/>
      <c r="DX320" s="740"/>
      <c r="DY320" s="740"/>
      <c r="DZ320" s="740"/>
      <c r="EA320" s="740"/>
      <c r="EB320" s="740"/>
      <c r="EC320" s="740"/>
      <c r="ED320" s="740"/>
      <c r="EE320" s="740"/>
      <c r="EF320" s="740"/>
      <c r="EG320" s="740"/>
      <c r="EH320" s="740"/>
      <c r="EI320" s="740"/>
      <c r="EJ320" s="740"/>
      <c r="EK320" s="740"/>
      <c r="EL320" s="740"/>
      <c r="EM320" s="740"/>
      <c r="EN320" s="740"/>
      <c r="EO320" s="740"/>
      <c r="EP320" s="740"/>
      <c r="EQ320" s="740"/>
      <c r="ER320" s="740"/>
      <c r="ES320" s="740"/>
      <c r="ET320" s="740"/>
      <c r="EU320" s="740"/>
      <c r="EV320" s="740"/>
      <c r="EW320" s="740"/>
      <c r="EX320" s="740"/>
      <c r="EY320" s="740"/>
      <c r="EZ320" s="740"/>
      <c r="FA320" s="740"/>
      <c r="FB320" s="740"/>
      <c r="FC320" s="740"/>
      <c r="FD320" s="740"/>
      <c r="FE320" s="740"/>
      <c r="FF320" s="740"/>
      <c r="FG320" s="740"/>
      <c r="FH320" s="740"/>
      <c r="FI320" s="740"/>
      <c r="FJ320" s="740"/>
      <c r="FK320" s="740"/>
      <c r="FL320" s="740"/>
      <c r="FM320" s="740"/>
      <c r="FN320" s="740"/>
      <c r="FO320" s="740"/>
      <c r="FP320" s="740"/>
      <c r="FQ320" s="740"/>
      <c r="FR320" s="740"/>
      <c r="FS320" s="740"/>
      <c r="FT320" s="740"/>
      <c r="FU320" s="740"/>
      <c r="FV320" s="740"/>
      <c r="FW320" s="740"/>
      <c r="FX320" s="740"/>
      <c r="FY320" s="740"/>
      <c r="FZ320" s="740"/>
      <c r="GA320" s="740"/>
      <c r="GB320" s="740"/>
      <c r="GC320" s="740"/>
      <c r="GD320" s="740"/>
      <c r="GE320" s="740"/>
      <c r="GF320" s="740"/>
      <c r="GG320" s="740"/>
      <c r="GH320" s="740"/>
      <c r="GI320" s="740"/>
      <c r="GJ320" s="740"/>
      <c r="GK320" s="740"/>
      <c r="GL320" s="740"/>
      <c r="GM320" s="740"/>
      <c r="GN320" s="740"/>
      <c r="GO320" s="740"/>
      <c r="GP320" s="740"/>
      <c r="GQ320" s="740"/>
      <c r="GR320" s="740"/>
      <c r="GS320" s="740"/>
      <c r="GT320" s="740"/>
      <c r="GU320" s="740"/>
      <c r="GV320" s="740"/>
      <c r="GW320" s="740"/>
    </row>
    <row r="321" spans="18:205" ht="24" customHeight="1" x14ac:dyDescent="0.2">
      <c r="R321" s="740"/>
      <c r="S321" s="740"/>
      <c r="T321" s="740"/>
      <c r="U321" s="740"/>
      <c r="V321" s="740"/>
      <c r="W321" s="740"/>
      <c r="X321" s="740"/>
      <c r="Y321" s="740"/>
      <c r="Z321" s="740"/>
      <c r="AA321" s="740"/>
      <c r="AB321" s="740"/>
      <c r="AC321" s="740"/>
      <c r="AD321" s="740"/>
      <c r="AE321" s="740"/>
      <c r="AF321" s="740"/>
      <c r="AG321" s="740"/>
      <c r="AH321" s="740"/>
      <c r="AI321" s="740"/>
      <c r="AJ321" s="740"/>
      <c r="AK321" s="740"/>
      <c r="AL321" s="740"/>
      <c r="AM321" s="740"/>
      <c r="AN321" s="740"/>
      <c r="AO321" s="740"/>
      <c r="AP321" s="740"/>
      <c r="AQ321" s="740"/>
      <c r="AR321" s="740"/>
      <c r="AS321" s="740"/>
      <c r="AT321" s="740"/>
      <c r="AU321" s="740"/>
      <c r="AV321" s="740"/>
      <c r="AW321" s="740"/>
      <c r="AX321" s="740"/>
      <c r="AY321" s="740"/>
      <c r="AZ321" s="740"/>
      <c r="BA321" s="740"/>
      <c r="BB321" s="740"/>
      <c r="BC321" s="740"/>
      <c r="BD321" s="740"/>
      <c r="BE321" s="740"/>
      <c r="BF321" s="740"/>
      <c r="BG321" s="740"/>
      <c r="BH321" s="740"/>
      <c r="BI321" s="740"/>
      <c r="BJ321" s="740"/>
      <c r="BK321" s="740"/>
      <c r="BL321" s="740"/>
      <c r="BM321" s="740"/>
      <c r="BN321" s="740"/>
      <c r="BO321" s="740"/>
      <c r="BP321" s="740"/>
      <c r="BQ321" s="740"/>
      <c r="BR321" s="740"/>
      <c r="BS321" s="740"/>
      <c r="BT321" s="740"/>
      <c r="BU321" s="740"/>
      <c r="BV321" s="740"/>
      <c r="BW321" s="740"/>
      <c r="BX321" s="740"/>
      <c r="BY321" s="740"/>
      <c r="BZ321" s="740"/>
      <c r="CA321" s="740"/>
      <c r="CB321" s="740"/>
      <c r="CC321" s="740"/>
      <c r="CD321" s="740"/>
      <c r="CE321" s="740"/>
      <c r="CF321" s="740"/>
      <c r="CG321" s="740"/>
      <c r="CH321" s="740"/>
      <c r="CI321" s="740"/>
      <c r="CJ321" s="740"/>
      <c r="CK321" s="740"/>
      <c r="CL321" s="740"/>
      <c r="CM321" s="740"/>
      <c r="CN321" s="740"/>
      <c r="CO321" s="740"/>
      <c r="CP321" s="740"/>
      <c r="CQ321" s="740"/>
      <c r="CR321" s="740"/>
      <c r="CS321" s="740"/>
      <c r="CT321" s="740"/>
      <c r="CU321" s="740"/>
      <c r="CV321" s="740"/>
      <c r="CW321" s="740"/>
      <c r="CX321" s="740"/>
      <c r="CY321" s="740"/>
      <c r="CZ321" s="740"/>
      <c r="DA321" s="740"/>
      <c r="DB321" s="740"/>
      <c r="DC321" s="740"/>
      <c r="DD321" s="740"/>
      <c r="DE321" s="740"/>
      <c r="DF321" s="740"/>
      <c r="DG321" s="740"/>
      <c r="DH321" s="740"/>
      <c r="DI321" s="740"/>
      <c r="DJ321" s="740"/>
      <c r="DK321" s="740"/>
      <c r="DL321" s="740"/>
      <c r="DM321" s="740"/>
      <c r="DN321" s="740"/>
      <c r="DO321" s="740"/>
      <c r="DP321" s="740"/>
      <c r="DQ321" s="740"/>
      <c r="DR321" s="740"/>
      <c r="DS321" s="740"/>
      <c r="DT321" s="740"/>
      <c r="DU321" s="740"/>
      <c r="DV321" s="740"/>
      <c r="DW321" s="740"/>
      <c r="DX321" s="740"/>
      <c r="DY321" s="740"/>
      <c r="DZ321" s="740"/>
      <c r="EA321" s="740"/>
      <c r="EB321" s="740"/>
      <c r="EC321" s="740"/>
      <c r="ED321" s="740"/>
      <c r="EE321" s="740"/>
      <c r="EF321" s="740"/>
      <c r="EG321" s="740"/>
      <c r="EH321" s="740"/>
      <c r="EI321" s="740"/>
      <c r="EJ321" s="740"/>
      <c r="EK321" s="740"/>
      <c r="EL321" s="740"/>
      <c r="EM321" s="740"/>
      <c r="EN321" s="740"/>
      <c r="EO321" s="740"/>
      <c r="EP321" s="740"/>
      <c r="EQ321" s="740"/>
      <c r="ER321" s="740"/>
      <c r="ES321" s="740"/>
      <c r="ET321" s="740"/>
      <c r="EU321" s="740"/>
      <c r="EV321" s="740"/>
      <c r="EW321" s="740"/>
      <c r="EX321" s="740"/>
      <c r="EY321" s="740"/>
      <c r="EZ321" s="740"/>
      <c r="FA321" s="740"/>
      <c r="FB321" s="740"/>
      <c r="FC321" s="740"/>
      <c r="FD321" s="740"/>
      <c r="FE321" s="740"/>
      <c r="FF321" s="740"/>
      <c r="FG321" s="740"/>
      <c r="FH321" s="740"/>
      <c r="FI321" s="740"/>
      <c r="FJ321" s="740"/>
      <c r="FK321" s="740"/>
      <c r="FL321" s="740"/>
      <c r="FM321" s="740"/>
      <c r="FN321" s="740"/>
      <c r="FO321" s="740"/>
      <c r="FP321" s="740"/>
      <c r="FQ321" s="740"/>
      <c r="FR321" s="740"/>
      <c r="FS321" s="740"/>
      <c r="FT321" s="740"/>
      <c r="FU321" s="740"/>
      <c r="FV321" s="740"/>
      <c r="FW321" s="740"/>
      <c r="FX321" s="740"/>
      <c r="FY321" s="740"/>
      <c r="FZ321" s="740"/>
      <c r="GA321" s="740"/>
      <c r="GB321" s="740"/>
      <c r="GC321" s="740"/>
      <c r="GD321" s="740"/>
      <c r="GE321" s="740"/>
      <c r="GF321" s="740"/>
      <c r="GG321" s="740"/>
      <c r="GH321" s="740"/>
      <c r="GI321" s="740"/>
      <c r="GJ321" s="740"/>
      <c r="GK321" s="740"/>
      <c r="GL321" s="740"/>
      <c r="GM321" s="740"/>
      <c r="GN321" s="740"/>
      <c r="GO321" s="740"/>
      <c r="GP321" s="740"/>
      <c r="GQ321" s="740"/>
      <c r="GR321" s="740"/>
      <c r="GS321" s="740"/>
      <c r="GT321" s="740"/>
      <c r="GU321" s="740"/>
      <c r="GV321" s="740"/>
      <c r="GW321" s="740"/>
    </row>
    <row r="322" spans="18:205" ht="24" customHeight="1" x14ac:dyDescent="0.2">
      <c r="R322" s="740"/>
      <c r="S322" s="740"/>
      <c r="T322" s="740"/>
      <c r="U322" s="740"/>
      <c r="V322" s="740"/>
      <c r="W322" s="740"/>
      <c r="X322" s="740"/>
      <c r="Y322" s="740"/>
      <c r="Z322" s="740"/>
      <c r="AA322" s="740"/>
      <c r="AB322" s="740"/>
      <c r="AC322" s="740"/>
      <c r="AD322" s="740"/>
      <c r="AE322" s="740"/>
      <c r="AF322" s="740"/>
      <c r="AG322" s="740"/>
      <c r="AH322" s="740"/>
      <c r="AI322" s="740"/>
      <c r="AJ322" s="740"/>
      <c r="AK322" s="740"/>
      <c r="AL322" s="740"/>
      <c r="AM322" s="740"/>
      <c r="AN322" s="740"/>
      <c r="AO322" s="740"/>
      <c r="AP322" s="740"/>
      <c r="AQ322" s="740"/>
      <c r="AR322" s="740"/>
      <c r="AS322" s="740"/>
      <c r="AT322" s="740"/>
      <c r="AU322" s="740"/>
      <c r="AV322" s="740"/>
      <c r="AW322" s="740"/>
      <c r="AX322" s="740"/>
      <c r="AY322" s="740"/>
      <c r="AZ322" s="740"/>
      <c r="BA322" s="740"/>
      <c r="BB322" s="740"/>
      <c r="BC322" s="740"/>
      <c r="BD322" s="740"/>
      <c r="BE322" s="740"/>
      <c r="BF322" s="740"/>
      <c r="BG322" s="740"/>
      <c r="BH322" s="740"/>
      <c r="BI322" s="740"/>
      <c r="BJ322" s="740"/>
      <c r="BK322" s="740"/>
      <c r="BL322" s="740"/>
      <c r="BM322" s="740"/>
      <c r="BN322" s="740"/>
      <c r="BO322" s="740"/>
      <c r="BP322" s="740"/>
      <c r="BQ322" s="740"/>
      <c r="BR322" s="740"/>
      <c r="BS322" s="740"/>
      <c r="BT322" s="740"/>
      <c r="BU322" s="740"/>
      <c r="BV322" s="740"/>
      <c r="BW322" s="740"/>
      <c r="BX322" s="740"/>
      <c r="BY322" s="740"/>
      <c r="BZ322" s="740"/>
      <c r="CA322" s="740"/>
      <c r="CB322" s="740"/>
      <c r="CC322" s="740"/>
      <c r="CD322" s="740"/>
      <c r="CE322" s="740"/>
      <c r="CF322" s="740"/>
      <c r="CG322" s="740"/>
      <c r="CH322" s="740"/>
      <c r="CI322" s="740"/>
      <c r="CJ322" s="740"/>
      <c r="CK322" s="740"/>
      <c r="CL322" s="740"/>
      <c r="CM322" s="740"/>
      <c r="CN322" s="740"/>
      <c r="CO322" s="740"/>
      <c r="CP322" s="740"/>
      <c r="CQ322" s="740"/>
      <c r="CR322" s="740"/>
      <c r="CS322" s="740"/>
      <c r="CT322" s="740"/>
      <c r="CU322" s="740"/>
      <c r="CV322" s="740"/>
      <c r="CW322" s="740"/>
      <c r="CX322" s="740"/>
      <c r="CY322" s="740"/>
      <c r="CZ322" s="740"/>
      <c r="DA322" s="740"/>
      <c r="DB322" s="740"/>
      <c r="DC322" s="740"/>
      <c r="DD322" s="740"/>
      <c r="DE322" s="740"/>
      <c r="DF322" s="740"/>
      <c r="DG322" s="740"/>
      <c r="DH322" s="740"/>
      <c r="DI322" s="740"/>
      <c r="DJ322" s="740"/>
      <c r="DK322" s="740"/>
      <c r="DL322" s="740"/>
      <c r="DM322" s="740"/>
      <c r="DN322" s="740"/>
      <c r="DO322" s="740"/>
      <c r="DP322" s="740"/>
      <c r="DQ322" s="740"/>
      <c r="DR322" s="740"/>
      <c r="DS322" s="740"/>
      <c r="DT322" s="740"/>
      <c r="DU322" s="740"/>
      <c r="DV322" s="740"/>
      <c r="DW322" s="740"/>
      <c r="DX322" s="740"/>
      <c r="DY322" s="740"/>
      <c r="DZ322" s="740"/>
      <c r="EA322" s="740"/>
      <c r="EB322" s="740"/>
      <c r="EC322" s="740"/>
      <c r="ED322" s="740"/>
      <c r="EE322" s="740"/>
      <c r="EF322" s="740"/>
      <c r="EG322" s="740"/>
      <c r="EH322" s="740"/>
      <c r="EI322" s="740"/>
      <c r="EJ322" s="740"/>
      <c r="EK322" s="740"/>
      <c r="EL322" s="740"/>
      <c r="EM322" s="740"/>
      <c r="EN322" s="740"/>
      <c r="EO322" s="740"/>
      <c r="EP322" s="740"/>
      <c r="EQ322" s="740"/>
      <c r="ER322" s="740"/>
      <c r="ES322" s="740"/>
      <c r="ET322" s="740"/>
      <c r="EU322" s="740"/>
      <c r="EV322" s="740"/>
      <c r="EW322" s="740"/>
      <c r="EX322" s="740"/>
      <c r="EY322" s="740"/>
      <c r="EZ322" s="740"/>
      <c r="FA322" s="740"/>
      <c r="FB322" s="740"/>
      <c r="FC322" s="740"/>
      <c r="FD322" s="740"/>
      <c r="FE322" s="740"/>
      <c r="FF322" s="740"/>
      <c r="FG322" s="740"/>
      <c r="FH322" s="740"/>
      <c r="FI322" s="740"/>
      <c r="FJ322" s="740"/>
      <c r="FK322" s="740"/>
      <c r="FL322" s="740"/>
      <c r="FM322" s="740"/>
      <c r="FN322" s="740"/>
      <c r="FO322" s="740"/>
      <c r="FP322" s="740"/>
      <c r="FQ322" s="740"/>
      <c r="FR322" s="740"/>
      <c r="FS322" s="740"/>
      <c r="FT322" s="740"/>
      <c r="FU322" s="740"/>
      <c r="FV322" s="740"/>
      <c r="FW322" s="740"/>
      <c r="FX322" s="740"/>
      <c r="FY322" s="740"/>
      <c r="FZ322" s="740"/>
      <c r="GA322" s="740"/>
      <c r="GB322" s="740"/>
      <c r="GC322" s="740"/>
      <c r="GD322" s="740"/>
      <c r="GE322" s="740"/>
      <c r="GF322" s="740"/>
      <c r="GG322" s="740"/>
      <c r="GH322" s="740"/>
      <c r="GI322" s="740"/>
      <c r="GJ322" s="740"/>
      <c r="GK322" s="740"/>
      <c r="GL322" s="740"/>
      <c r="GM322" s="740"/>
      <c r="GN322" s="740"/>
      <c r="GO322" s="740"/>
      <c r="GP322" s="740"/>
      <c r="GQ322" s="740"/>
      <c r="GR322" s="740"/>
      <c r="GS322" s="740"/>
      <c r="GT322" s="740"/>
      <c r="GU322" s="740"/>
      <c r="GV322" s="740"/>
      <c r="GW322" s="740"/>
    </row>
    <row r="323" spans="18:205" ht="24" customHeight="1" x14ac:dyDescent="0.2">
      <c r="R323" s="740"/>
      <c r="S323" s="740"/>
      <c r="T323" s="740"/>
      <c r="U323" s="740"/>
      <c r="V323" s="740"/>
      <c r="W323" s="740"/>
      <c r="X323" s="740"/>
      <c r="Y323" s="740"/>
      <c r="Z323" s="740"/>
      <c r="AA323" s="740"/>
      <c r="AB323" s="740"/>
      <c r="AC323" s="740"/>
      <c r="AD323" s="740"/>
      <c r="AE323" s="740"/>
      <c r="AF323" s="740"/>
      <c r="AG323" s="740"/>
      <c r="AH323" s="740"/>
      <c r="AI323" s="740"/>
      <c r="AJ323" s="740"/>
      <c r="AK323" s="740"/>
      <c r="AL323" s="740"/>
      <c r="AM323" s="740"/>
      <c r="AN323" s="740"/>
      <c r="AO323" s="740"/>
      <c r="AP323" s="740"/>
      <c r="AQ323" s="740"/>
      <c r="AR323" s="740"/>
      <c r="AS323" s="740"/>
      <c r="AT323" s="740"/>
      <c r="AU323" s="740"/>
      <c r="AV323" s="740"/>
      <c r="AW323" s="740"/>
      <c r="AX323" s="740"/>
      <c r="AY323" s="740"/>
      <c r="AZ323" s="740"/>
      <c r="BA323" s="740"/>
      <c r="BB323" s="740"/>
      <c r="BC323" s="740"/>
      <c r="BD323" s="740"/>
      <c r="BE323" s="740"/>
      <c r="BF323" s="740"/>
      <c r="BG323" s="740"/>
      <c r="BH323" s="740"/>
      <c r="BI323" s="740"/>
      <c r="BJ323" s="740"/>
      <c r="BK323" s="740"/>
      <c r="BL323" s="740"/>
      <c r="BM323" s="740"/>
      <c r="BN323" s="740"/>
      <c r="BO323" s="740"/>
      <c r="BP323" s="740"/>
      <c r="BQ323" s="740"/>
      <c r="BR323" s="740"/>
      <c r="BS323" s="740"/>
      <c r="BT323" s="740"/>
      <c r="BU323" s="740"/>
      <c r="BV323" s="740"/>
      <c r="BW323" s="740"/>
      <c r="BX323" s="740"/>
      <c r="BY323" s="740"/>
      <c r="BZ323" s="740"/>
      <c r="CA323" s="740"/>
      <c r="CB323" s="740"/>
      <c r="CC323" s="740"/>
      <c r="CD323" s="740"/>
      <c r="CE323" s="740"/>
      <c r="CF323" s="740"/>
      <c r="CG323" s="740"/>
      <c r="CH323" s="740"/>
      <c r="CI323" s="740"/>
      <c r="CJ323" s="740"/>
      <c r="CK323" s="740"/>
      <c r="CL323" s="740"/>
      <c r="CM323" s="740"/>
      <c r="CN323" s="740"/>
      <c r="CO323" s="740"/>
      <c r="CP323" s="740"/>
      <c r="CQ323" s="740"/>
      <c r="CR323" s="740"/>
      <c r="CS323" s="740"/>
      <c r="CT323" s="740"/>
      <c r="CU323" s="740"/>
      <c r="CV323" s="740"/>
      <c r="CW323" s="740"/>
      <c r="CX323" s="740"/>
      <c r="CY323" s="740"/>
      <c r="CZ323" s="740"/>
      <c r="DA323" s="740"/>
      <c r="DB323" s="740"/>
      <c r="DC323" s="740"/>
      <c r="DD323" s="740"/>
      <c r="DE323" s="740"/>
      <c r="DF323" s="740"/>
      <c r="DG323" s="740"/>
      <c r="DH323" s="740"/>
      <c r="DI323" s="740"/>
      <c r="DJ323" s="740"/>
      <c r="DK323" s="740"/>
      <c r="DL323" s="740"/>
      <c r="DM323" s="740"/>
      <c r="DN323" s="740"/>
      <c r="DO323" s="740"/>
      <c r="DP323" s="740"/>
      <c r="DQ323" s="740"/>
      <c r="DR323" s="740"/>
      <c r="DS323" s="740"/>
      <c r="DT323" s="740"/>
      <c r="DU323" s="740"/>
      <c r="DV323" s="740"/>
      <c r="DW323" s="740"/>
      <c r="DX323" s="740"/>
      <c r="DY323" s="740"/>
      <c r="DZ323" s="740"/>
      <c r="EA323" s="740"/>
      <c r="EB323" s="740"/>
      <c r="EC323" s="740"/>
      <c r="ED323" s="740"/>
      <c r="EE323" s="740"/>
      <c r="EF323" s="740"/>
      <c r="EG323" s="740"/>
      <c r="EH323" s="740"/>
      <c r="EI323" s="740"/>
      <c r="EJ323" s="740"/>
      <c r="EK323" s="740"/>
      <c r="EL323" s="740"/>
      <c r="EM323" s="740"/>
      <c r="EN323" s="740"/>
      <c r="EO323" s="740"/>
      <c r="EP323" s="740"/>
      <c r="EQ323" s="740"/>
      <c r="ER323" s="740"/>
      <c r="ES323" s="740"/>
      <c r="ET323" s="740"/>
      <c r="EU323" s="740"/>
      <c r="EV323" s="740"/>
      <c r="EW323" s="740"/>
      <c r="EX323" s="740"/>
      <c r="EY323" s="740"/>
      <c r="EZ323" s="740"/>
      <c r="FA323" s="740"/>
      <c r="FB323" s="740"/>
      <c r="FC323" s="740"/>
      <c r="FD323" s="740"/>
      <c r="FE323" s="740"/>
      <c r="FF323" s="740"/>
      <c r="FG323" s="740"/>
      <c r="FH323" s="740"/>
      <c r="FI323" s="740"/>
      <c r="FJ323" s="740"/>
      <c r="FK323" s="740"/>
      <c r="FL323" s="740"/>
      <c r="FM323" s="740"/>
      <c r="FN323" s="740"/>
      <c r="FO323" s="740"/>
      <c r="FP323" s="740"/>
      <c r="FQ323" s="740"/>
      <c r="FR323" s="740"/>
      <c r="FS323" s="740"/>
      <c r="FT323" s="740"/>
      <c r="FU323" s="740"/>
      <c r="FV323" s="740"/>
      <c r="FW323" s="740"/>
      <c r="FX323" s="740"/>
      <c r="FY323" s="740"/>
      <c r="FZ323" s="740"/>
      <c r="GA323" s="740"/>
      <c r="GB323" s="740"/>
      <c r="GC323" s="740"/>
      <c r="GD323" s="740"/>
      <c r="GE323" s="740"/>
      <c r="GF323" s="740"/>
      <c r="GG323" s="740"/>
      <c r="GH323" s="740"/>
      <c r="GI323" s="740"/>
      <c r="GJ323" s="740"/>
      <c r="GK323" s="740"/>
      <c r="GL323" s="740"/>
      <c r="GM323" s="740"/>
      <c r="GN323" s="740"/>
      <c r="GO323" s="740"/>
      <c r="GP323" s="740"/>
      <c r="GQ323" s="740"/>
      <c r="GR323" s="740"/>
      <c r="GS323" s="740"/>
      <c r="GT323" s="740"/>
      <c r="GU323" s="740"/>
      <c r="GV323" s="740"/>
      <c r="GW323" s="740"/>
    </row>
    <row r="324" spans="18:205" ht="24" customHeight="1" x14ac:dyDescent="0.2">
      <c r="R324" s="740"/>
      <c r="S324" s="740"/>
      <c r="T324" s="740"/>
      <c r="U324" s="740"/>
      <c r="V324" s="740"/>
      <c r="W324" s="740"/>
      <c r="X324" s="740"/>
      <c r="Y324" s="740"/>
      <c r="Z324" s="740"/>
      <c r="AA324" s="740"/>
      <c r="AB324" s="740"/>
      <c r="AC324" s="740"/>
      <c r="AD324" s="740"/>
      <c r="AE324" s="740"/>
      <c r="AF324" s="740"/>
      <c r="AG324" s="740"/>
      <c r="AH324" s="740"/>
      <c r="AI324" s="740"/>
      <c r="AJ324" s="740"/>
      <c r="AK324" s="740"/>
      <c r="AL324" s="740"/>
      <c r="AM324" s="740"/>
      <c r="AN324" s="740"/>
      <c r="AO324" s="740"/>
      <c r="AP324" s="740"/>
      <c r="AQ324" s="740"/>
      <c r="AR324" s="740"/>
      <c r="AS324" s="740"/>
      <c r="AT324" s="740"/>
      <c r="AU324" s="740"/>
      <c r="AV324" s="740"/>
      <c r="AW324" s="740"/>
      <c r="AX324" s="740"/>
      <c r="AY324" s="740"/>
      <c r="AZ324" s="740"/>
      <c r="BA324" s="740"/>
      <c r="BB324" s="740"/>
      <c r="BC324" s="740"/>
      <c r="BD324" s="740"/>
      <c r="BE324" s="740"/>
      <c r="BF324" s="740"/>
      <c r="BG324" s="740"/>
      <c r="BH324" s="740"/>
      <c r="BI324" s="740"/>
      <c r="BJ324" s="740"/>
      <c r="BK324" s="740"/>
      <c r="BL324" s="740"/>
      <c r="BM324" s="740"/>
      <c r="BN324" s="740"/>
      <c r="BO324" s="740"/>
      <c r="BP324" s="740"/>
      <c r="BQ324" s="740"/>
      <c r="BR324" s="740"/>
      <c r="BS324" s="740"/>
      <c r="BT324" s="740"/>
      <c r="BU324" s="740"/>
      <c r="BV324" s="740"/>
      <c r="BW324" s="740"/>
      <c r="BX324" s="740"/>
      <c r="BY324" s="740"/>
      <c r="BZ324" s="740"/>
      <c r="CA324" s="740"/>
      <c r="CB324" s="740"/>
      <c r="CC324" s="740"/>
      <c r="CD324" s="740"/>
      <c r="CE324" s="740"/>
      <c r="CF324" s="740"/>
      <c r="CG324" s="740"/>
      <c r="CH324" s="740"/>
      <c r="CI324" s="740"/>
      <c r="CJ324" s="740"/>
      <c r="CK324" s="740"/>
      <c r="CL324" s="740"/>
      <c r="CM324" s="740"/>
      <c r="CN324" s="740"/>
      <c r="CO324" s="740"/>
      <c r="CP324" s="740"/>
      <c r="CQ324" s="740"/>
      <c r="CR324" s="740"/>
      <c r="CS324" s="740"/>
      <c r="CT324" s="740"/>
      <c r="CU324" s="740"/>
      <c r="CV324" s="740"/>
      <c r="CW324" s="740"/>
      <c r="CX324" s="740"/>
      <c r="CY324" s="740"/>
      <c r="CZ324" s="740"/>
      <c r="DA324" s="740"/>
      <c r="DB324" s="740"/>
      <c r="DC324" s="740"/>
      <c r="DD324" s="740"/>
      <c r="DE324" s="740"/>
      <c r="DF324" s="740"/>
      <c r="DG324" s="740"/>
      <c r="DH324" s="740"/>
      <c r="DI324" s="740"/>
      <c r="DJ324" s="740"/>
      <c r="DK324" s="740"/>
      <c r="DL324" s="740"/>
      <c r="DM324" s="740"/>
      <c r="DN324" s="740"/>
      <c r="DO324" s="740"/>
      <c r="DP324" s="740"/>
      <c r="DQ324" s="740"/>
      <c r="DR324" s="740"/>
      <c r="DS324" s="740"/>
      <c r="DT324" s="740"/>
      <c r="DU324" s="740"/>
      <c r="DV324" s="740"/>
      <c r="DW324" s="740"/>
      <c r="DX324" s="740"/>
      <c r="DY324" s="740"/>
      <c r="DZ324" s="740"/>
      <c r="EA324" s="740"/>
      <c r="EB324" s="740"/>
      <c r="EC324" s="740"/>
      <c r="ED324" s="740"/>
      <c r="EE324" s="740"/>
      <c r="EF324" s="740"/>
      <c r="EG324" s="740"/>
      <c r="EH324" s="740"/>
      <c r="EI324" s="740"/>
      <c r="EJ324" s="740"/>
      <c r="EK324" s="740"/>
      <c r="EL324" s="740"/>
      <c r="EM324" s="740"/>
      <c r="EN324" s="740"/>
      <c r="EO324" s="740"/>
      <c r="EP324" s="740"/>
      <c r="EQ324" s="740"/>
      <c r="ER324" s="740"/>
      <c r="ES324" s="740"/>
      <c r="ET324" s="740"/>
      <c r="EU324" s="740"/>
      <c r="EV324" s="740"/>
      <c r="EW324" s="740"/>
      <c r="EX324" s="740"/>
      <c r="EY324" s="740"/>
      <c r="EZ324" s="740"/>
      <c r="FA324" s="740"/>
      <c r="FB324" s="740"/>
      <c r="FC324" s="740"/>
      <c r="FD324" s="740"/>
      <c r="FE324" s="740"/>
      <c r="FF324" s="740"/>
      <c r="FG324" s="740"/>
      <c r="FH324" s="740"/>
      <c r="FI324" s="740"/>
      <c r="FJ324" s="740"/>
      <c r="FK324" s="740"/>
      <c r="FL324" s="740"/>
      <c r="FM324" s="740"/>
      <c r="FN324" s="740"/>
      <c r="FO324" s="740"/>
      <c r="FP324" s="740"/>
      <c r="FQ324" s="740"/>
      <c r="FR324" s="740"/>
      <c r="FS324" s="740"/>
      <c r="FT324" s="740"/>
      <c r="FU324" s="740"/>
      <c r="FV324" s="740"/>
      <c r="FW324" s="740"/>
      <c r="FX324" s="740"/>
      <c r="FY324" s="740"/>
      <c r="FZ324" s="740"/>
      <c r="GA324" s="740"/>
      <c r="GB324" s="740"/>
      <c r="GC324" s="740"/>
      <c r="GD324" s="740"/>
      <c r="GE324" s="740"/>
      <c r="GF324" s="740"/>
      <c r="GG324" s="740"/>
      <c r="GH324" s="740"/>
      <c r="GI324" s="740"/>
      <c r="GJ324" s="740"/>
      <c r="GK324" s="740"/>
      <c r="GL324" s="740"/>
      <c r="GM324" s="740"/>
      <c r="GN324" s="740"/>
      <c r="GO324" s="740"/>
      <c r="GP324" s="740"/>
      <c r="GQ324" s="740"/>
      <c r="GR324" s="740"/>
      <c r="GS324" s="740"/>
      <c r="GT324" s="740"/>
      <c r="GU324" s="740"/>
      <c r="GV324" s="740"/>
      <c r="GW324" s="740"/>
    </row>
    <row r="325" spans="18:205" ht="24" customHeight="1" x14ac:dyDescent="0.2">
      <c r="R325" s="740"/>
      <c r="S325" s="740"/>
      <c r="T325" s="740"/>
      <c r="U325" s="740"/>
      <c r="V325" s="740"/>
      <c r="W325" s="740"/>
      <c r="X325" s="740"/>
      <c r="Y325" s="740"/>
      <c r="Z325" s="740"/>
      <c r="AA325" s="740"/>
      <c r="AB325" s="740"/>
      <c r="AC325" s="740"/>
      <c r="AD325" s="740"/>
      <c r="AE325" s="740"/>
      <c r="AF325" s="740"/>
      <c r="AG325" s="740"/>
      <c r="AH325" s="740"/>
      <c r="AI325" s="740"/>
      <c r="AJ325" s="740"/>
      <c r="AK325" s="740"/>
      <c r="AL325" s="740"/>
      <c r="AM325" s="740"/>
      <c r="AN325" s="740"/>
      <c r="AO325" s="740"/>
      <c r="AP325" s="740"/>
      <c r="AQ325" s="740"/>
      <c r="AR325" s="740"/>
      <c r="AS325" s="740"/>
      <c r="AT325" s="740"/>
      <c r="AU325" s="740"/>
      <c r="AV325" s="740"/>
      <c r="AW325" s="740"/>
      <c r="AX325" s="740"/>
      <c r="AY325" s="740"/>
      <c r="AZ325" s="740"/>
      <c r="BA325" s="740"/>
      <c r="BB325" s="740"/>
      <c r="BC325" s="740"/>
      <c r="BD325" s="740"/>
      <c r="BE325" s="740"/>
      <c r="BF325" s="740"/>
      <c r="BG325" s="740"/>
      <c r="BH325" s="740"/>
      <c r="BI325" s="740"/>
      <c r="BJ325" s="740"/>
      <c r="BK325" s="740"/>
      <c r="BL325" s="740"/>
      <c r="BM325" s="740"/>
      <c r="BN325" s="740"/>
      <c r="BO325" s="740"/>
      <c r="BP325" s="740"/>
      <c r="BQ325" s="740"/>
      <c r="BR325" s="740"/>
      <c r="BS325" s="740"/>
      <c r="BT325" s="740"/>
      <c r="BU325" s="740"/>
      <c r="BV325" s="740"/>
      <c r="BW325" s="740"/>
      <c r="BX325" s="740"/>
      <c r="BY325" s="740"/>
      <c r="BZ325" s="740"/>
      <c r="CA325" s="740"/>
      <c r="CB325" s="740"/>
      <c r="CC325" s="740"/>
      <c r="CD325" s="740"/>
      <c r="CE325" s="740"/>
      <c r="CF325" s="740"/>
      <c r="CG325" s="740"/>
      <c r="CH325" s="740"/>
      <c r="CI325" s="740"/>
      <c r="CJ325" s="740"/>
      <c r="CK325" s="740"/>
      <c r="CL325" s="740"/>
      <c r="CM325" s="740"/>
      <c r="CN325" s="740"/>
      <c r="CO325" s="740"/>
      <c r="CP325" s="740"/>
      <c r="CQ325" s="740"/>
      <c r="CR325" s="740"/>
      <c r="CS325" s="740"/>
      <c r="CT325" s="740"/>
      <c r="CU325" s="740"/>
      <c r="CV325" s="740"/>
      <c r="CW325" s="740"/>
      <c r="CX325" s="740"/>
      <c r="CY325" s="740"/>
      <c r="CZ325" s="740"/>
      <c r="DA325" s="740"/>
      <c r="DB325" s="740"/>
      <c r="DC325" s="740"/>
      <c r="DD325" s="740"/>
      <c r="DE325" s="740"/>
      <c r="DF325" s="740"/>
      <c r="DG325" s="740"/>
      <c r="DH325" s="740"/>
      <c r="DI325" s="740"/>
      <c r="DJ325" s="740"/>
      <c r="DK325" s="740"/>
      <c r="DL325" s="740"/>
      <c r="DM325" s="740"/>
      <c r="DN325" s="740"/>
      <c r="DO325" s="740"/>
      <c r="DP325" s="740"/>
      <c r="DQ325" s="740"/>
      <c r="DR325" s="740"/>
      <c r="DS325" s="740"/>
      <c r="DT325" s="740"/>
      <c r="DU325" s="740"/>
      <c r="DV325" s="740"/>
      <c r="DW325" s="740"/>
      <c r="DX325" s="740"/>
      <c r="DY325" s="740"/>
      <c r="DZ325" s="740"/>
      <c r="EA325" s="740"/>
      <c r="EB325" s="740"/>
      <c r="EC325" s="740"/>
      <c r="ED325" s="740"/>
      <c r="EE325" s="740"/>
      <c r="EF325" s="740"/>
      <c r="EG325" s="740"/>
      <c r="EH325" s="740"/>
      <c r="EI325" s="740"/>
      <c r="EJ325" s="740"/>
      <c r="EK325" s="740"/>
      <c r="EL325" s="740"/>
      <c r="EM325" s="740"/>
      <c r="EN325" s="740"/>
      <c r="EO325" s="740"/>
      <c r="EP325" s="740"/>
      <c r="EQ325" s="740"/>
      <c r="ER325" s="740"/>
      <c r="ES325" s="740"/>
      <c r="ET325" s="740"/>
      <c r="EU325" s="740"/>
      <c r="EV325" s="740"/>
      <c r="EW325" s="740"/>
      <c r="EX325" s="740"/>
      <c r="EY325" s="740"/>
      <c r="EZ325" s="740"/>
      <c r="FA325" s="740"/>
      <c r="FB325" s="740"/>
      <c r="FC325" s="740"/>
      <c r="FD325" s="740"/>
      <c r="FE325" s="740"/>
      <c r="FF325" s="740"/>
      <c r="FG325" s="740"/>
      <c r="FH325" s="740"/>
      <c r="FI325" s="740"/>
      <c r="FJ325" s="740"/>
      <c r="FK325" s="740"/>
      <c r="FL325" s="740"/>
      <c r="FM325" s="740"/>
      <c r="FN325" s="740"/>
      <c r="FO325" s="740"/>
      <c r="FP325" s="740"/>
      <c r="FQ325" s="740"/>
      <c r="FR325" s="740"/>
      <c r="FS325" s="740"/>
      <c r="FT325" s="740"/>
      <c r="FU325" s="740"/>
      <c r="FV325" s="740"/>
      <c r="FW325" s="740"/>
      <c r="FX325" s="740"/>
      <c r="FY325" s="740"/>
      <c r="FZ325" s="740"/>
      <c r="GA325" s="740"/>
      <c r="GB325" s="740"/>
      <c r="GC325" s="740"/>
      <c r="GD325" s="740"/>
      <c r="GE325" s="740"/>
      <c r="GF325" s="740"/>
      <c r="GG325" s="740"/>
      <c r="GH325" s="740"/>
      <c r="GI325" s="740"/>
      <c r="GJ325" s="740"/>
      <c r="GK325" s="740"/>
      <c r="GL325" s="740"/>
      <c r="GM325" s="740"/>
      <c r="GN325" s="740"/>
      <c r="GO325" s="740"/>
      <c r="GP325" s="740"/>
      <c r="GQ325" s="740"/>
      <c r="GR325" s="740"/>
      <c r="GS325" s="740"/>
      <c r="GT325" s="740"/>
      <c r="GU325" s="740"/>
      <c r="GV325" s="740"/>
      <c r="GW325" s="740"/>
    </row>
    <row r="326" spans="18:205" ht="24" customHeight="1" x14ac:dyDescent="0.2">
      <c r="R326" s="740"/>
      <c r="S326" s="740"/>
      <c r="T326" s="740"/>
      <c r="U326" s="740"/>
      <c r="V326" s="740"/>
      <c r="W326" s="740"/>
      <c r="X326" s="740"/>
      <c r="Y326" s="740"/>
      <c r="Z326" s="740"/>
      <c r="AA326" s="740"/>
      <c r="AB326" s="740"/>
      <c r="AC326" s="740"/>
      <c r="AD326" s="740"/>
      <c r="AE326" s="740"/>
      <c r="AF326" s="740"/>
      <c r="AG326" s="740"/>
      <c r="AH326" s="740"/>
      <c r="AI326" s="740"/>
      <c r="AJ326" s="740"/>
      <c r="AK326" s="740"/>
      <c r="AL326" s="740"/>
      <c r="AM326" s="740"/>
      <c r="AN326" s="740"/>
      <c r="AO326" s="740"/>
      <c r="AP326" s="740"/>
      <c r="AQ326" s="740"/>
      <c r="AR326" s="740"/>
      <c r="AS326" s="740"/>
      <c r="AT326" s="740"/>
      <c r="AU326" s="740"/>
      <c r="AV326" s="740"/>
      <c r="AW326" s="740"/>
      <c r="AX326" s="740"/>
      <c r="AY326" s="740"/>
      <c r="AZ326" s="740"/>
      <c r="BA326" s="740"/>
      <c r="BB326" s="740"/>
      <c r="BC326" s="740"/>
      <c r="BD326" s="740"/>
      <c r="BE326" s="740"/>
      <c r="BF326" s="740"/>
      <c r="BG326" s="740"/>
      <c r="BH326" s="740"/>
      <c r="BI326" s="740"/>
      <c r="BJ326" s="740"/>
      <c r="BK326" s="740"/>
      <c r="BL326" s="740"/>
      <c r="BM326" s="740"/>
      <c r="BN326" s="740"/>
      <c r="BO326" s="740"/>
      <c r="BP326" s="740"/>
      <c r="BQ326" s="740"/>
      <c r="BR326" s="740"/>
      <c r="BS326" s="740"/>
      <c r="BT326" s="740"/>
      <c r="BU326" s="740"/>
      <c r="BV326" s="740"/>
      <c r="BW326" s="740"/>
      <c r="BX326" s="740"/>
      <c r="BY326" s="740"/>
      <c r="BZ326" s="740"/>
      <c r="CA326" s="740"/>
      <c r="CB326" s="740"/>
      <c r="CC326" s="740"/>
      <c r="CD326" s="740"/>
      <c r="CE326" s="740"/>
      <c r="CF326" s="740"/>
      <c r="CG326" s="740"/>
      <c r="CH326" s="740"/>
      <c r="CI326" s="740"/>
      <c r="CJ326" s="740"/>
      <c r="CK326" s="740"/>
      <c r="CL326" s="740"/>
      <c r="CM326" s="740"/>
      <c r="CN326" s="740"/>
      <c r="CO326" s="740"/>
      <c r="CP326" s="740"/>
      <c r="CQ326" s="740"/>
      <c r="CR326" s="740"/>
      <c r="CS326" s="740"/>
      <c r="CT326" s="740"/>
      <c r="CU326" s="740"/>
      <c r="CV326" s="740"/>
      <c r="CW326" s="740"/>
      <c r="CX326" s="740"/>
      <c r="CY326" s="740"/>
      <c r="CZ326" s="740"/>
      <c r="DA326" s="740"/>
      <c r="DB326" s="740"/>
      <c r="DC326" s="740"/>
      <c r="DD326" s="740"/>
      <c r="DE326" s="740"/>
      <c r="DF326" s="740"/>
      <c r="DG326" s="740"/>
      <c r="DH326" s="740"/>
      <c r="DI326" s="740"/>
      <c r="DJ326" s="740"/>
      <c r="DK326" s="740"/>
      <c r="DL326" s="740"/>
      <c r="DM326" s="740"/>
      <c r="DN326" s="740"/>
      <c r="DO326" s="740"/>
      <c r="DP326" s="740"/>
      <c r="DQ326" s="740"/>
      <c r="DR326" s="740"/>
      <c r="DS326" s="740"/>
      <c r="DT326" s="740"/>
      <c r="DU326" s="740"/>
      <c r="DV326" s="740"/>
      <c r="DW326" s="740"/>
      <c r="DX326" s="740"/>
      <c r="DY326" s="740"/>
      <c r="DZ326" s="740"/>
      <c r="EA326" s="740"/>
      <c r="EB326" s="740"/>
      <c r="EC326" s="740"/>
      <c r="ED326" s="740"/>
      <c r="EE326" s="740"/>
      <c r="EF326" s="740"/>
      <c r="EG326" s="740"/>
      <c r="EH326" s="740"/>
      <c r="EI326" s="740"/>
      <c r="EJ326" s="740"/>
      <c r="EK326" s="740"/>
      <c r="EL326" s="740"/>
      <c r="EM326" s="740"/>
      <c r="EN326" s="740"/>
      <c r="EO326" s="740"/>
      <c r="EP326" s="740"/>
      <c r="EQ326" s="740"/>
      <c r="ER326" s="740"/>
      <c r="ES326" s="740"/>
      <c r="ET326" s="740"/>
      <c r="EU326" s="740"/>
      <c r="EV326" s="740"/>
      <c r="EW326" s="740"/>
      <c r="EX326" s="740"/>
      <c r="EY326" s="740"/>
      <c r="EZ326" s="740"/>
      <c r="FA326" s="740"/>
      <c r="FB326" s="740"/>
      <c r="FC326" s="740"/>
      <c r="FD326" s="740"/>
      <c r="FE326" s="740"/>
      <c r="FF326" s="740"/>
      <c r="FG326" s="740"/>
      <c r="FH326" s="740"/>
      <c r="FI326" s="740"/>
      <c r="FJ326" s="740"/>
      <c r="FK326" s="740"/>
      <c r="FL326" s="740"/>
      <c r="FM326" s="740"/>
      <c r="FN326" s="740"/>
      <c r="FO326" s="740"/>
      <c r="FP326" s="740"/>
      <c r="FQ326" s="740"/>
      <c r="FR326" s="740"/>
      <c r="FS326" s="740"/>
      <c r="FT326" s="740"/>
      <c r="FU326" s="740"/>
      <c r="FV326" s="740"/>
      <c r="FW326" s="740"/>
      <c r="FX326" s="740"/>
      <c r="FY326" s="740"/>
      <c r="FZ326" s="740"/>
      <c r="GA326" s="740"/>
      <c r="GB326" s="740"/>
      <c r="GC326" s="740"/>
      <c r="GD326" s="740"/>
      <c r="GE326" s="740"/>
      <c r="GF326" s="740"/>
      <c r="GG326" s="740"/>
      <c r="GH326" s="740"/>
      <c r="GI326" s="740"/>
      <c r="GJ326" s="740"/>
      <c r="GK326" s="740"/>
      <c r="GL326" s="740"/>
      <c r="GM326" s="740"/>
      <c r="GN326" s="740"/>
      <c r="GO326" s="740"/>
      <c r="GP326" s="740"/>
      <c r="GQ326" s="740"/>
      <c r="GR326" s="740"/>
      <c r="GS326" s="740"/>
      <c r="GT326" s="740"/>
      <c r="GU326" s="740"/>
      <c r="GV326" s="740"/>
      <c r="GW326" s="740"/>
    </row>
    <row r="327" spans="18:205" ht="24" customHeight="1" x14ac:dyDescent="0.2">
      <c r="R327" s="740"/>
      <c r="S327" s="740"/>
      <c r="T327" s="740"/>
      <c r="U327" s="740"/>
      <c r="V327" s="740"/>
      <c r="W327" s="740"/>
      <c r="X327" s="740"/>
      <c r="Y327" s="740"/>
      <c r="Z327" s="740"/>
      <c r="AA327" s="740"/>
      <c r="AB327" s="740"/>
      <c r="AC327" s="740"/>
      <c r="AD327" s="740"/>
      <c r="AE327" s="740"/>
      <c r="AF327" s="740"/>
      <c r="AG327" s="740"/>
      <c r="AH327" s="740"/>
      <c r="AI327" s="740"/>
      <c r="AJ327" s="740"/>
      <c r="AK327" s="740"/>
      <c r="AL327" s="740"/>
      <c r="AM327" s="740"/>
      <c r="AN327" s="740"/>
      <c r="AO327" s="740"/>
      <c r="AP327" s="740"/>
      <c r="AQ327" s="740"/>
      <c r="AR327" s="740"/>
      <c r="AS327" s="740"/>
      <c r="AT327" s="740"/>
      <c r="AU327" s="740"/>
      <c r="AV327" s="740"/>
      <c r="AW327" s="740"/>
      <c r="AX327" s="740"/>
      <c r="AY327" s="740"/>
      <c r="AZ327" s="740"/>
      <c r="BA327" s="740"/>
      <c r="BB327" s="740"/>
      <c r="BC327" s="740"/>
      <c r="BD327" s="740"/>
      <c r="BE327" s="740"/>
      <c r="BF327" s="740"/>
      <c r="BG327" s="740"/>
      <c r="BH327" s="740"/>
      <c r="BI327" s="740"/>
      <c r="BJ327" s="740"/>
      <c r="BK327" s="740"/>
      <c r="BL327" s="740"/>
      <c r="BM327" s="740"/>
      <c r="BN327" s="740"/>
      <c r="BO327" s="740"/>
      <c r="BP327" s="740"/>
      <c r="BQ327" s="740"/>
      <c r="BR327" s="740"/>
      <c r="BS327" s="740"/>
      <c r="BT327" s="740"/>
      <c r="BU327" s="740"/>
      <c r="BV327" s="740"/>
      <c r="BW327" s="740"/>
      <c r="BX327" s="740"/>
      <c r="BY327" s="740"/>
      <c r="BZ327" s="740"/>
      <c r="CA327" s="740"/>
      <c r="CB327" s="740"/>
      <c r="CC327" s="740"/>
      <c r="CD327" s="740"/>
      <c r="CE327" s="740"/>
      <c r="CF327" s="740"/>
      <c r="CG327" s="740"/>
      <c r="CH327" s="740"/>
      <c r="CI327" s="740"/>
      <c r="CJ327" s="740"/>
      <c r="CK327" s="740"/>
      <c r="CL327" s="740"/>
      <c r="CM327" s="740"/>
      <c r="CN327" s="740"/>
      <c r="CO327" s="740"/>
      <c r="CP327" s="740"/>
      <c r="CQ327" s="740"/>
      <c r="CR327" s="740"/>
      <c r="CS327" s="740"/>
      <c r="CT327" s="740"/>
      <c r="CU327" s="740"/>
      <c r="CV327" s="740"/>
      <c r="CW327" s="740"/>
      <c r="CX327" s="740"/>
      <c r="CY327" s="740"/>
      <c r="CZ327" s="740"/>
      <c r="DA327" s="740"/>
      <c r="DB327" s="740"/>
      <c r="DC327" s="740"/>
      <c r="DD327" s="740"/>
      <c r="DE327" s="740"/>
      <c r="DF327" s="740"/>
      <c r="DG327" s="740"/>
      <c r="DH327" s="740"/>
      <c r="DI327" s="740"/>
      <c r="DJ327" s="740"/>
      <c r="DK327" s="740"/>
      <c r="DL327" s="740"/>
      <c r="DM327" s="740"/>
      <c r="DN327" s="740"/>
      <c r="DO327" s="740"/>
      <c r="DP327" s="740"/>
      <c r="DQ327" s="740"/>
      <c r="DR327" s="740"/>
      <c r="DS327" s="740"/>
      <c r="DT327" s="740"/>
      <c r="DU327" s="740"/>
      <c r="DV327" s="740"/>
      <c r="DW327" s="740"/>
      <c r="DX327" s="740"/>
      <c r="DY327" s="740"/>
      <c r="DZ327" s="740"/>
      <c r="EA327" s="740"/>
      <c r="EB327" s="740"/>
      <c r="EC327" s="740"/>
      <c r="ED327" s="740"/>
      <c r="EE327" s="740"/>
      <c r="EF327" s="740"/>
      <c r="EG327" s="740"/>
      <c r="EH327" s="740"/>
      <c r="EI327" s="740"/>
      <c r="EJ327" s="740"/>
      <c r="EK327" s="740"/>
      <c r="EL327" s="740"/>
      <c r="EM327" s="740"/>
      <c r="EN327" s="740"/>
      <c r="EO327" s="740"/>
      <c r="EP327" s="740"/>
      <c r="EQ327" s="740"/>
      <c r="ER327" s="740"/>
      <c r="ES327" s="740"/>
      <c r="ET327" s="740"/>
      <c r="EU327" s="740"/>
      <c r="EV327" s="740"/>
      <c r="EW327" s="740"/>
      <c r="EX327" s="740"/>
      <c r="EY327" s="740"/>
      <c r="EZ327" s="740"/>
      <c r="FA327" s="740"/>
      <c r="FB327" s="740"/>
      <c r="FC327" s="740"/>
      <c r="FD327" s="740"/>
      <c r="FE327" s="740"/>
      <c r="FF327" s="740"/>
      <c r="FG327" s="740"/>
      <c r="FH327" s="740"/>
      <c r="FI327" s="740"/>
      <c r="FJ327" s="740"/>
      <c r="FK327" s="740"/>
      <c r="FL327" s="740"/>
      <c r="FM327" s="740"/>
      <c r="FN327" s="740"/>
      <c r="FO327" s="740"/>
      <c r="FP327" s="740"/>
      <c r="FQ327" s="740"/>
      <c r="FR327" s="740"/>
      <c r="FS327" s="740"/>
      <c r="FT327" s="740"/>
      <c r="FU327" s="740"/>
      <c r="FV327" s="740"/>
      <c r="FW327" s="740"/>
      <c r="FX327" s="740"/>
      <c r="FY327" s="740"/>
      <c r="FZ327" s="740"/>
      <c r="GA327" s="740"/>
      <c r="GB327" s="740"/>
      <c r="GC327" s="740"/>
      <c r="GD327" s="740"/>
      <c r="GE327" s="740"/>
      <c r="GF327" s="740"/>
      <c r="GG327" s="740"/>
      <c r="GH327" s="740"/>
      <c r="GI327" s="740"/>
      <c r="GJ327" s="740"/>
      <c r="GK327" s="740"/>
      <c r="GL327" s="740"/>
      <c r="GM327" s="740"/>
      <c r="GN327" s="740"/>
      <c r="GO327" s="740"/>
      <c r="GP327" s="740"/>
      <c r="GQ327" s="740"/>
      <c r="GR327" s="740"/>
      <c r="GS327" s="740"/>
      <c r="GT327" s="740"/>
      <c r="GU327" s="740"/>
      <c r="GV327" s="740"/>
      <c r="GW327" s="740"/>
    </row>
    <row r="328" spans="18:205" ht="24" customHeight="1" x14ac:dyDescent="0.2">
      <c r="R328" s="740"/>
      <c r="S328" s="740"/>
      <c r="T328" s="740"/>
      <c r="U328" s="740"/>
      <c r="V328" s="740"/>
      <c r="W328" s="740"/>
      <c r="X328" s="740"/>
      <c r="Y328" s="740"/>
      <c r="Z328" s="740"/>
      <c r="AA328" s="740"/>
      <c r="AB328" s="740"/>
      <c r="AC328" s="740"/>
      <c r="AD328" s="740"/>
      <c r="AE328" s="740"/>
      <c r="AF328" s="740"/>
      <c r="AG328" s="740"/>
      <c r="AH328" s="740"/>
      <c r="AI328" s="740"/>
      <c r="AJ328" s="740"/>
      <c r="AK328" s="740"/>
      <c r="AL328" s="740"/>
      <c r="AM328" s="740"/>
      <c r="AN328" s="740"/>
      <c r="AO328" s="740"/>
      <c r="AP328" s="740"/>
      <c r="AQ328" s="740"/>
      <c r="AR328" s="740"/>
      <c r="AS328" s="740"/>
      <c r="AT328" s="740"/>
      <c r="AU328" s="740"/>
      <c r="AV328" s="740"/>
      <c r="AW328" s="740"/>
      <c r="AX328" s="740"/>
      <c r="AY328" s="740"/>
      <c r="AZ328" s="740"/>
      <c r="BA328" s="740"/>
      <c r="BB328" s="740"/>
      <c r="BC328" s="740"/>
      <c r="BD328" s="740"/>
      <c r="BE328" s="740"/>
      <c r="BF328" s="740"/>
      <c r="BG328" s="740"/>
      <c r="BH328" s="740"/>
      <c r="BI328" s="740"/>
      <c r="BJ328" s="740"/>
      <c r="BK328" s="740"/>
      <c r="BL328" s="740"/>
      <c r="BM328" s="740"/>
      <c r="BN328" s="740"/>
      <c r="BO328" s="740"/>
      <c r="BP328" s="740"/>
      <c r="BQ328" s="740"/>
      <c r="BR328" s="740"/>
      <c r="BS328" s="740"/>
      <c r="BT328" s="740"/>
      <c r="BU328" s="740"/>
      <c r="BV328" s="740"/>
      <c r="BW328" s="740"/>
      <c r="BX328" s="740"/>
      <c r="BY328" s="740"/>
      <c r="BZ328" s="740"/>
      <c r="CA328" s="740"/>
      <c r="CB328" s="740"/>
      <c r="CC328" s="740"/>
      <c r="CD328" s="740"/>
      <c r="CE328" s="740"/>
      <c r="CF328" s="740"/>
      <c r="CG328" s="740"/>
      <c r="CH328" s="740"/>
      <c r="CI328" s="740"/>
      <c r="CJ328" s="740"/>
      <c r="CK328" s="740"/>
      <c r="CL328" s="740"/>
      <c r="CM328" s="740"/>
      <c r="CN328" s="740"/>
      <c r="CO328" s="740"/>
      <c r="CP328" s="740"/>
      <c r="CQ328" s="740"/>
      <c r="CR328" s="740"/>
      <c r="CS328" s="740"/>
      <c r="CT328" s="740"/>
      <c r="CU328" s="740"/>
      <c r="CV328" s="740"/>
      <c r="CW328" s="740"/>
      <c r="CX328" s="740"/>
      <c r="CY328" s="740"/>
      <c r="CZ328" s="740"/>
      <c r="DA328" s="740"/>
      <c r="DB328" s="740"/>
      <c r="DC328" s="740"/>
      <c r="DD328" s="740"/>
      <c r="DE328" s="740"/>
      <c r="DF328" s="740"/>
      <c r="DG328" s="740"/>
      <c r="DH328" s="740"/>
      <c r="DI328" s="740"/>
      <c r="DJ328" s="740"/>
      <c r="DK328" s="740"/>
      <c r="DL328" s="740"/>
      <c r="DM328" s="740"/>
      <c r="DN328" s="740"/>
      <c r="DO328" s="740"/>
      <c r="DP328" s="740"/>
      <c r="DQ328" s="740"/>
      <c r="DR328" s="740"/>
      <c r="DS328" s="740"/>
      <c r="DT328" s="740"/>
      <c r="DU328" s="740"/>
      <c r="DV328" s="740"/>
      <c r="DW328" s="740"/>
      <c r="DX328" s="740"/>
      <c r="DY328" s="740"/>
      <c r="DZ328" s="740"/>
      <c r="EA328" s="740"/>
      <c r="EB328" s="740"/>
      <c r="EC328" s="740"/>
      <c r="ED328" s="740"/>
      <c r="EE328" s="740"/>
      <c r="EF328" s="740"/>
      <c r="EG328" s="740"/>
      <c r="EH328" s="740"/>
      <c r="EI328" s="740"/>
      <c r="EJ328" s="740"/>
      <c r="EK328" s="740"/>
      <c r="EL328" s="740"/>
      <c r="EM328" s="740"/>
      <c r="EN328" s="740"/>
      <c r="EO328" s="740"/>
      <c r="EP328" s="740"/>
      <c r="EQ328" s="740"/>
      <c r="ER328" s="740"/>
      <c r="ES328" s="740"/>
      <c r="ET328" s="740"/>
      <c r="EU328" s="740"/>
      <c r="EV328" s="740"/>
      <c r="EW328" s="740"/>
      <c r="EX328" s="740"/>
      <c r="EY328" s="740"/>
      <c r="EZ328" s="740"/>
      <c r="FA328" s="740"/>
      <c r="FB328" s="740"/>
      <c r="FC328" s="740"/>
      <c r="FD328" s="740"/>
      <c r="FE328" s="740"/>
      <c r="FF328" s="740"/>
      <c r="FG328" s="740"/>
      <c r="FH328" s="740"/>
      <c r="FI328" s="740"/>
      <c r="FJ328" s="740"/>
      <c r="FK328" s="740"/>
      <c r="FL328" s="740"/>
      <c r="FM328" s="740"/>
      <c r="FN328" s="740"/>
      <c r="FO328" s="740"/>
      <c r="FP328" s="740"/>
      <c r="FQ328" s="740"/>
      <c r="FR328" s="740"/>
      <c r="FS328" s="740"/>
      <c r="FT328" s="740"/>
      <c r="FU328" s="740"/>
      <c r="FV328" s="740"/>
      <c r="FW328" s="740"/>
      <c r="FX328" s="740"/>
      <c r="FY328" s="740"/>
      <c r="FZ328" s="740"/>
      <c r="GA328" s="740"/>
      <c r="GB328" s="740"/>
      <c r="GC328" s="740"/>
      <c r="GD328" s="740"/>
      <c r="GE328" s="740"/>
      <c r="GF328" s="740"/>
      <c r="GG328" s="740"/>
      <c r="GH328" s="740"/>
      <c r="GI328" s="740"/>
      <c r="GJ328" s="740"/>
      <c r="GK328" s="740"/>
      <c r="GL328" s="740"/>
      <c r="GM328" s="740"/>
      <c r="GN328" s="740"/>
      <c r="GO328" s="740"/>
      <c r="GP328" s="740"/>
      <c r="GQ328" s="740"/>
      <c r="GR328" s="740"/>
      <c r="GS328" s="740"/>
      <c r="GT328" s="740"/>
      <c r="GU328" s="740"/>
      <c r="GV328" s="740"/>
      <c r="GW328" s="740"/>
    </row>
    <row r="329" spans="18:205" ht="24" customHeight="1" x14ac:dyDescent="0.2">
      <c r="R329" s="740"/>
      <c r="S329" s="740"/>
      <c r="T329" s="740"/>
      <c r="U329" s="740"/>
      <c r="V329" s="740"/>
      <c r="W329" s="740"/>
      <c r="X329" s="740"/>
      <c r="Y329" s="740"/>
      <c r="Z329" s="740"/>
      <c r="AA329" s="740"/>
      <c r="AB329" s="740"/>
      <c r="AC329" s="740"/>
      <c r="AD329" s="740"/>
      <c r="AE329" s="740"/>
      <c r="AF329" s="740"/>
      <c r="AG329" s="740"/>
      <c r="AH329" s="740"/>
      <c r="AI329" s="740"/>
      <c r="AJ329" s="740"/>
      <c r="AK329" s="740"/>
      <c r="AL329" s="740"/>
      <c r="AM329" s="740"/>
      <c r="AN329" s="740"/>
      <c r="AO329" s="740"/>
      <c r="AP329" s="740"/>
      <c r="AQ329" s="740"/>
      <c r="AR329" s="740"/>
      <c r="AS329" s="740"/>
      <c r="AT329" s="740"/>
      <c r="AU329" s="740"/>
      <c r="AV329" s="740"/>
      <c r="AW329" s="740"/>
      <c r="AX329" s="740"/>
      <c r="AY329" s="740"/>
      <c r="AZ329" s="740"/>
      <c r="BA329" s="740"/>
      <c r="BB329" s="740"/>
      <c r="BC329" s="740"/>
      <c r="BD329" s="740"/>
      <c r="BE329" s="740"/>
      <c r="BF329" s="740"/>
      <c r="BG329" s="740"/>
      <c r="BH329" s="740"/>
      <c r="BI329" s="740"/>
      <c r="BJ329" s="740"/>
      <c r="BK329" s="740"/>
      <c r="BL329" s="740"/>
      <c r="BM329" s="740"/>
      <c r="BN329" s="740"/>
      <c r="BO329" s="740"/>
      <c r="BP329" s="740"/>
      <c r="BQ329" s="740"/>
      <c r="BR329" s="740"/>
      <c r="BS329" s="740"/>
      <c r="BT329" s="740"/>
      <c r="BU329" s="740"/>
      <c r="BV329" s="740"/>
      <c r="BW329" s="740"/>
      <c r="BX329" s="740"/>
      <c r="BY329" s="740"/>
      <c r="BZ329" s="740"/>
      <c r="CA329" s="740"/>
      <c r="CB329" s="740"/>
      <c r="CC329" s="740"/>
      <c r="CD329" s="740"/>
      <c r="CE329" s="740"/>
      <c r="CF329" s="740"/>
      <c r="CG329" s="740"/>
      <c r="CH329" s="740"/>
      <c r="CI329" s="740"/>
      <c r="CJ329" s="740"/>
      <c r="CK329" s="740"/>
      <c r="CL329" s="740"/>
      <c r="CM329" s="740"/>
      <c r="CN329" s="740"/>
      <c r="CO329" s="740"/>
      <c r="CP329" s="740"/>
      <c r="CQ329" s="740"/>
      <c r="CR329" s="740"/>
      <c r="CS329" s="740"/>
      <c r="CT329" s="740"/>
      <c r="CU329" s="740"/>
      <c r="CV329" s="740"/>
      <c r="CW329" s="740"/>
      <c r="CX329" s="740"/>
      <c r="CY329" s="740"/>
      <c r="CZ329" s="740"/>
      <c r="DA329" s="740"/>
      <c r="DB329" s="740"/>
      <c r="DC329" s="740"/>
      <c r="DD329" s="740"/>
      <c r="DE329" s="740"/>
      <c r="DF329" s="740"/>
      <c r="DG329" s="740"/>
      <c r="DH329" s="740"/>
      <c r="DI329" s="740"/>
      <c r="DJ329" s="740"/>
      <c r="DK329" s="740"/>
      <c r="DL329" s="740"/>
      <c r="DM329" s="740"/>
      <c r="DN329" s="740"/>
      <c r="DO329" s="740"/>
      <c r="DP329" s="740"/>
      <c r="DQ329" s="740"/>
      <c r="DR329" s="740"/>
      <c r="DS329" s="740"/>
      <c r="DT329" s="740"/>
      <c r="DU329" s="740"/>
      <c r="DV329" s="740"/>
      <c r="DW329" s="740"/>
      <c r="DX329" s="740"/>
      <c r="DY329" s="740"/>
      <c r="DZ329" s="740"/>
      <c r="EA329" s="740"/>
      <c r="EB329" s="740"/>
      <c r="EC329" s="740"/>
      <c r="ED329" s="740"/>
      <c r="EE329" s="740"/>
      <c r="EF329" s="740"/>
      <c r="EG329" s="740"/>
      <c r="EH329" s="740"/>
      <c r="EI329" s="740"/>
      <c r="EJ329" s="740"/>
      <c r="EK329" s="740"/>
      <c r="EL329" s="740"/>
      <c r="EM329" s="740"/>
      <c r="EN329" s="740"/>
      <c r="EO329" s="740"/>
      <c r="EP329" s="740"/>
      <c r="EQ329" s="740"/>
      <c r="ER329" s="740"/>
      <c r="ES329" s="740"/>
      <c r="ET329" s="740"/>
      <c r="EU329" s="740"/>
      <c r="EV329" s="740"/>
      <c r="EW329" s="740"/>
      <c r="EX329" s="740"/>
      <c r="EY329" s="740"/>
      <c r="EZ329" s="740"/>
      <c r="FA329" s="740"/>
      <c r="FB329" s="740"/>
      <c r="FC329" s="740"/>
      <c r="FD329" s="740"/>
      <c r="FE329" s="740"/>
      <c r="FF329" s="740"/>
      <c r="FG329" s="740"/>
      <c r="FH329" s="740"/>
      <c r="FI329" s="740"/>
      <c r="FJ329" s="740"/>
      <c r="FK329" s="740"/>
      <c r="FL329" s="740"/>
      <c r="FM329" s="740"/>
      <c r="FN329" s="740"/>
      <c r="FO329" s="740"/>
      <c r="FP329" s="740"/>
      <c r="FQ329" s="740"/>
      <c r="FR329" s="740"/>
      <c r="FS329" s="740"/>
      <c r="FT329" s="740"/>
      <c r="FU329" s="740"/>
      <c r="FV329" s="740"/>
      <c r="FW329" s="740"/>
      <c r="FX329" s="740"/>
      <c r="FY329" s="740"/>
      <c r="FZ329" s="740"/>
      <c r="GA329" s="740"/>
      <c r="GB329" s="740"/>
      <c r="GC329" s="740"/>
      <c r="GD329" s="740"/>
      <c r="GE329" s="740"/>
      <c r="GF329" s="740"/>
      <c r="GG329" s="740"/>
      <c r="GH329" s="740"/>
      <c r="GI329" s="740"/>
      <c r="GJ329" s="740"/>
      <c r="GK329" s="740"/>
      <c r="GL329" s="740"/>
      <c r="GM329" s="740"/>
      <c r="GN329" s="740"/>
      <c r="GO329" s="740"/>
      <c r="GP329" s="740"/>
      <c r="GQ329" s="740"/>
      <c r="GR329" s="740"/>
      <c r="GS329" s="740"/>
      <c r="GT329" s="740"/>
      <c r="GU329" s="740"/>
      <c r="GV329" s="740"/>
      <c r="GW329" s="740"/>
    </row>
    <row r="330" spans="18:205" ht="24" customHeight="1" x14ac:dyDescent="0.2">
      <c r="R330" s="740"/>
      <c r="S330" s="740"/>
      <c r="T330" s="740"/>
      <c r="U330" s="740"/>
      <c r="V330" s="740"/>
      <c r="W330" s="740"/>
      <c r="X330" s="740"/>
      <c r="Y330" s="740"/>
      <c r="Z330" s="740"/>
      <c r="AA330" s="740"/>
      <c r="AB330" s="740"/>
      <c r="AC330" s="740"/>
      <c r="AD330" s="740"/>
      <c r="AE330" s="740"/>
      <c r="AF330" s="740"/>
      <c r="AG330" s="740"/>
      <c r="AH330" s="740"/>
      <c r="AI330" s="740"/>
      <c r="AJ330" s="740"/>
      <c r="AK330" s="740"/>
      <c r="AL330" s="740"/>
      <c r="AM330" s="740"/>
      <c r="AN330" s="740"/>
      <c r="AO330" s="740"/>
      <c r="AP330" s="740"/>
      <c r="AQ330" s="740"/>
      <c r="AR330" s="740"/>
      <c r="AS330" s="740"/>
      <c r="AT330" s="740"/>
      <c r="AU330" s="740"/>
      <c r="AV330" s="740"/>
      <c r="AW330" s="740"/>
      <c r="AX330" s="740"/>
      <c r="AY330" s="740"/>
      <c r="AZ330" s="740"/>
      <c r="BA330" s="740"/>
      <c r="BB330" s="740"/>
      <c r="BC330" s="740"/>
      <c r="BD330" s="740"/>
      <c r="BE330" s="740"/>
      <c r="BF330" s="740"/>
      <c r="BG330" s="740"/>
      <c r="BH330" s="740"/>
      <c r="BI330" s="740"/>
      <c r="BJ330" s="740"/>
      <c r="BK330" s="740"/>
      <c r="BL330" s="740"/>
      <c r="BM330" s="740"/>
      <c r="BN330" s="740"/>
      <c r="BO330" s="740"/>
      <c r="BP330" s="740"/>
      <c r="BQ330" s="740"/>
      <c r="BR330" s="740"/>
      <c r="BS330" s="740"/>
      <c r="BT330" s="740"/>
      <c r="BU330" s="740"/>
      <c r="BV330" s="740"/>
      <c r="BW330" s="740"/>
      <c r="BX330" s="740"/>
      <c r="BY330" s="740"/>
      <c r="BZ330" s="740"/>
      <c r="CA330" s="740"/>
      <c r="CB330" s="740"/>
      <c r="CC330" s="740"/>
      <c r="CD330" s="740"/>
      <c r="CE330" s="740"/>
      <c r="CF330" s="740"/>
      <c r="CG330" s="740"/>
      <c r="CH330" s="740"/>
      <c r="CI330" s="740"/>
      <c r="CJ330" s="740"/>
      <c r="CK330" s="740"/>
      <c r="CL330" s="740"/>
      <c r="CM330" s="740"/>
      <c r="CN330" s="740"/>
      <c r="CO330" s="740"/>
      <c r="CP330" s="740"/>
      <c r="CQ330" s="740"/>
      <c r="CR330" s="740"/>
      <c r="CS330" s="740"/>
      <c r="CT330" s="740"/>
      <c r="CU330" s="740"/>
      <c r="CV330" s="740"/>
      <c r="CW330" s="740"/>
      <c r="CX330" s="740"/>
      <c r="CY330" s="740"/>
      <c r="CZ330" s="740"/>
      <c r="DA330" s="740"/>
      <c r="DB330" s="740"/>
      <c r="DC330" s="740"/>
      <c r="DD330" s="740"/>
      <c r="DE330" s="740"/>
      <c r="DF330" s="740"/>
      <c r="DG330" s="740"/>
      <c r="DH330" s="740"/>
      <c r="DI330" s="740"/>
      <c r="DJ330" s="740"/>
      <c r="DK330" s="740"/>
      <c r="DL330" s="740"/>
      <c r="DM330" s="740"/>
      <c r="DN330" s="740"/>
      <c r="DO330" s="740"/>
      <c r="DP330" s="740"/>
      <c r="DQ330" s="740"/>
      <c r="DR330" s="740"/>
      <c r="DS330" s="740"/>
      <c r="DT330" s="740"/>
      <c r="DU330" s="740"/>
      <c r="DV330" s="740"/>
      <c r="DW330" s="740"/>
      <c r="DX330" s="740"/>
      <c r="DY330" s="740"/>
      <c r="DZ330" s="740"/>
      <c r="EA330" s="740"/>
      <c r="EB330" s="740"/>
      <c r="EC330" s="740"/>
      <c r="ED330" s="740"/>
      <c r="EE330" s="740"/>
      <c r="EF330" s="740"/>
      <c r="EG330" s="740"/>
      <c r="EH330" s="740"/>
      <c r="EI330" s="740"/>
      <c r="EJ330" s="740"/>
      <c r="EK330" s="740"/>
      <c r="EL330" s="740"/>
      <c r="EM330" s="740"/>
      <c r="EN330" s="740"/>
      <c r="EO330" s="740"/>
      <c r="EP330" s="740"/>
      <c r="EQ330" s="740"/>
      <c r="ER330" s="740"/>
      <c r="ES330" s="740"/>
      <c r="ET330" s="740"/>
      <c r="EU330" s="740"/>
      <c r="EV330" s="740"/>
      <c r="EW330" s="740"/>
      <c r="EX330" s="740"/>
      <c r="EY330" s="740"/>
      <c r="EZ330" s="740"/>
      <c r="FA330" s="740"/>
      <c r="FB330" s="740"/>
      <c r="FC330" s="740"/>
      <c r="FD330" s="740"/>
      <c r="FE330" s="740"/>
      <c r="FF330" s="740"/>
      <c r="FG330" s="740"/>
      <c r="FH330" s="740"/>
      <c r="FI330" s="740"/>
      <c r="FJ330" s="740"/>
      <c r="FK330" s="740"/>
      <c r="FL330" s="740"/>
      <c r="FM330" s="740"/>
      <c r="FN330" s="740"/>
      <c r="FO330" s="740"/>
      <c r="FP330" s="740"/>
      <c r="FQ330" s="740"/>
      <c r="FR330" s="740"/>
      <c r="FS330" s="740"/>
      <c r="FT330" s="740"/>
      <c r="FU330" s="740"/>
      <c r="FV330" s="740"/>
      <c r="FW330" s="740"/>
      <c r="FX330" s="740"/>
      <c r="FY330" s="740"/>
      <c r="FZ330" s="740"/>
      <c r="GA330" s="740"/>
      <c r="GB330" s="740"/>
      <c r="GC330" s="740"/>
      <c r="GD330" s="740"/>
      <c r="GE330" s="740"/>
      <c r="GF330" s="740"/>
      <c r="GG330" s="740"/>
      <c r="GH330" s="740"/>
      <c r="GI330" s="740"/>
      <c r="GJ330" s="740"/>
      <c r="GK330" s="740"/>
      <c r="GL330" s="740"/>
      <c r="GM330" s="740"/>
      <c r="GN330" s="740"/>
      <c r="GO330" s="740"/>
      <c r="GP330" s="740"/>
      <c r="GQ330" s="740"/>
      <c r="GR330" s="740"/>
      <c r="GS330" s="740"/>
      <c r="GT330" s="740"/>
      <c r="GU330" s="740"/>
      <c r="GV330" s="740"/>
      <c r="GW330" s="740"/>
    </row>
    <row r="331" spans="18:205" ht="24" customHeight="1" x14ac:dyDescent="0.2">
      <c r="R331" s="740"/>
      <c r="S331" s="740"/>
      <c r="T331" s="740"/>
      <c r="U331" s="740"/>
      <c r="V331" s="740"/>
      <c r="W331" s="740"/>
      <c r="X331" s="740"/>
      <c r="Y331" s="740"/>
      <c r="Z331" s="740"/>
      <c r="AA331" s="740"/>
      <c r="AB331" s="740"/>
      <c r="AC331" s="740"/>
      <c r="AD331" s="740"/>
      <c r="AE331" s="740"/>
      <c r="AF331" s="740"/>
      <c r="AG331" s="740"/>
      <c r="AH331" s="740"/>
      <c r="AI331" s="740"/>
      <c r="AJ331" s="740"/>
      <c r="AK331" s="740"/>
      <c r="AL331" s="740"/>
      <c r="AM331" s="740"/>
      <c r="AN331" s="740"/>
      <c r="AO331" s="740"/>
      <c r="AP331" s="740"/>
      <c r="AQ331" s="740"/>
      <c r="AR331" s="740"/>
      <c r="AS331" s="740"/>
      <c r="AT331" s="740"/>
      <c r="AU331" s="740"/>
      <c r="AV331" s="740"/>
      <c r="AW331" s="740"/>
      <c r="AX331" s="740"/>
      <c r="AY331" s="740"/>
      <c r="AZ331" s="740"/>
      <c r="BA331" s="740"/>
      <c r="BB331" s="740"/>
      <c r="BC331" s="740"/>
      <c r="BD331" s="740"/>
      <c r="BE331" s="740"/>
      <c r="BF331" s="740"/>
      <c r="BG331" s="740"/>
      <c r="BH331" s="740"/>
      <c r="BI331" s="740"/>
      <c r="BJ331" s="740"/>
      <c r="BK331" s="740"/>
      <c r="BL331" s="740"/>
      <c r="BM331" s="740"/>
      <c r="BN331" s="740"/>
      <c r="BO331" s="740"/>
      <c r="BP331" s="740"/>
      <c r="BQ331" s="740"/>
      <c r="BR331" s="740"/>
      <c r="BS331" s="740"/>
      <c r="BT331" s="740"/>
      <c r="BU331" s="740"/>
      <c r="BV331" s="740"/>
      <c r="BW331" s="740"/>
      <c r="BX331" s="740"/>
      <c r="BY331" s="740"/>
      <c r="BZ331" s="740"/>
      <c r="CA331" s="740"/>
      <c r="CB331" s="740"/>
      <c r="CC331" s="740"/>
      <c r="CD331" s="740"/>
      <c r="CE331" s="740"/>
      <c r="CF331" s="740"/>
      <c r="CG331" s="740"/>
      <c r="CH331" s="740"/>
      <c r="CI331" s="740"/>
      <c r="CJ331" s="740"/>
      <c r="CK331" s="740"/>
      <c r="CL331" s="740"/>
      <c r="CM331" s="740"/>
      <c r="CN331" s="740"/>
      <c r="CO331" s="740"/>
      <c r="CP331" s="740"/>
      <c r="CQ331" s="740"/>
      <c r="CR331" s="740"/>
      <c r="CS331" s="740"/>
      <c r="CT331" s="740"/>
      <c r="CU331" s="740"/>
      <c r="CV331" s="740"/>
      <c r="CW331" s="740"/>
      <c r="CX331" s="740"/>
      <c r="CY331" s="740"/>
      <c r="CZ331" s="740"/>
      <c r="DA331" s="740"/>
      <c r="DB331" s="740"/>
      <c r="DC331" s="740"/>
      <c r="DD331" s="740"/>
      <c r="DE331" s="740"/>
      <c r="DF331" s="740"/>
      <c r="DG331" s="740"/>
      <c r="DH331" s="740"/>
      <c r="DI331" s="740"/>
      <c r="DJ331" s="740"/>
      <c r="DK331" s="740"/>
      <c r="DL331" s="740"/>
      <c r="DM331" s="740"/>
      <c r="DN331" s="740"/>
      <c r="DO331" s="740"/>
      <c r="DP331" s="740"/>
      <c r="DQ331" s="740"/>
      <c r="DR331" s="740"/>
      <c r="DS331" s="740"/>
      <c r="DT331" s="740"/>
      <c r="DU331" s="740"/>
      <c r="DV331" s="740"/>
      <c r="DW331" s="740"/>
      <c r="DX331" s="740"/>
      <c r="DY331" s="740"/>
      <c r="DZ331" s="740"/>
      <c r="EA331" s="740"/>
      <c r="EB331" s="740"/>
      <c r="EC331" s="740"/>
      <c r="ED331" s="740"/>
      <c r="EE331" s="740"/>
      <c r="EF331" s="740"/>
      <c r="EG331" s="740"/>
      <c r="EH331" s="740"/>
      <c r="EI331" s="740"/>
      <c r="EJ331" s="740"/>
      <c r="EK331" s="740"/>
      <c r="EL331" s="740"/>
      <c r="EM331" s="740"/>
      <c r="EN331" s="740"/>
      <c r="EO331" s="740"/>
      <c r="EP331" s="740"/>
      <c r="EQ331" s="740"/>
      <c r="ER331" s="740"/>
      <c r="ES331" s="740"/>
      <c r="ET331" s="740"/>
      <c r="EU331" s="740"/>
      <c r="EV331" s="740"/>
      <c r="EW331" s="740"/>
      <c r="EX331" s="740"/>
      <c r="EY331" s="740"/>
      <c r="EZ331" s="740"/>
      <c r="FA331" s="740"/>
      <c r="FB331" s="740"/>
      <c r="FC331" s="740"/>
      <c r="FD331" s="740"/>
      <c r="FE331" s="740"/>
      <c r="FF331" s="740"/>
      <c r="FG331" s="740"/>
      <c r="FH331" s="740"/>
      <c r="FI331" s="740"/>
      <c r="FJ331" s="740"/>
      <c r="FK331" s="740"/>
      <c r="FL331" s="740"/>
      <c r="FM331" s="740"/>
      <c r="FN331" s="740"/>
      <c r="FO331" s="740"/>
      <c r="FP331" s="740"/>
      <c r="FQ331" s="740"/>
      <c r="FR331" s="740"/>
      <c r="FS331" s="740"/>
      <c r="FT331" s="740"/>
      <c r="FU331" s="740"/>
      <c r="FV331" s="740"/>
      <c r="FW331" s="740"/>
      <c r="FX331" s="740"/>
      <c r="FY331" s="740"/>
      <c r="FZ331" s="740"/>
      <c r="GA331" s="740"/>
      <c r="GB331" s="740"/>
      <c r="GC331" s="740"/>
      <c r="GD331" s="740"/>
      <c r="GE331" s="740"/>
      <c r="GF331" s="740"/>
      <c r="GG331" s="740"/>
      <c r="GH331" s="740"/>
      <c r="GI331" s="740"/>
      <c r="GJ331" s="740"/>
      <c r="GK331" s="740"/>
      <c r="GL331" s="740"/>
      <c r="GM331" s="740"/>
      <c r="GN331" s="740"/>
      <c r="GO331" s="740"/>
      <c r="GP331" s="740"/>
      <c r="GQ331" s="740"/>
      <c r="GR331" s="740"/>
      <c r="GS331" s="740"/>
      <c r="GT331" s="740"/>
      <c r="GU331" s="740"/>
      <c r="GV331" s="740"/>
      <c r="GW331" s="740"/>
    </row>
    <row r="332" spans="18:205" ht="24" customHeight="1" x14ac:dyDescent="0.2">
      <c r="R332" s="740"/>
      <c r="S332" s="740"/>
      <c r="T332" s="740"/>
      <c r="U332" s="740"/>
      <c r="V332" s="740"/>
      <c r="W332" s="740"/>
      <c r="X332" s="740"/>
      <c r="Y332" s="740"/>
      <c r="Z332" s="740"/>
      <c r="AA332" s="740"/>
      <c r="AB332" s="740"/>
      <c r="AC332" s="740"/>
      <c r="AD332" s="740"/>
      <c r="AE332" s="740"/>
      <c r="AF332" s="740"/>
      <c r="AG332" s="740"/>
      <c r="AH332" s="740"/>
      <c r="AI332" s="740"/>
      <c r="AJ332" s="740"/>
      <c r="AK332" s="740"/>
      <c r="AL332" s="740"/>
      <c r="AM332" s="740"/>
      <c r="AN332" s="740"/>
      <c r="AO332" s="740"/>
      <c r="AP332" s="740"/>
      <c r="AQ332" s="740"/>
      <c r="AR332" s="740"/>
      <c r="AS332" s="740"/>
      <c r="AT332" s="740"/>
      <c r="AU332" s="740"/>
      <c r="AV332" s="740"/>
      <c r="AW332" s="740"/>
      <c r="AX332" s="740"/>
      <c r="AY332" s="740"/>
      <c r="AZ332" s="740"/>
      <c r="BA332" s="740"/>
      <c r="BB332" s="740"/>
      <c r="BC332" s="740"/>
      <c r="BD332" s="740"/>
      <c r="BE332" s="740"/>
      <c r="BF332" s="740"/>
      <c r="BG332" s="740"/>
      <c r="BH332" s="740"/>
      <c r="BI332" s="740"/>
      <c r="BJ332" s="740"/>
      <c r="BK332" s="740"/>
      <c r="BL332" s="740"/>
      <c r="BM332" s="740"/>
      <c r="BN332" s="740"/>
      <c r="BO332" s="740"/>
      <c r="BP332" s="740"/>
      <c r="BQ332" s="740"/>
      <c r="BR332" s="740"/>
      <c r="BS332" s="740"/>
      <c r="BT332" s="740"/>
      <c r="BU332" s="740"/>
      <c r="BV332" s="740"/>
      <c r="BW332" s="740"/>
      <c r="BX332" s="740"/>
      <c r="BY332" s="740"/>
      <c r="BZ332" s="740"/>
      <c r="CA332" s="740"/>
      <c r="CB332" s="740"/>
      <c r="CC332" s="740"/>
      <c r="CD332" s="740"/>
      <c r="CE332" s="740"/>
      <c r="CF332" s="740"/>
      <c r="CG332" s="740"/>
      <c r="CH332" s="740"/>
      <c r="CI332" s="740"/>
      <c r="CJ332" s="740"/>
      <c r="CK332" s="740"/>
      <c r="CL332" s="740"/>
      <c r="CM332" s="740"/>
      <c r="CN332" s="740"/>
      <c r="CO332" s="740"/>
      <c r="CP332" s="740"/>
      <c r="CQ332" s="740"/>
      <c r="CR332" s="740"/>
      <c r="CS332" s="740"/>
      <c r="CT332" s="740"/>
      <c r="CU332" s="740"/>
      <c r="CV332" s="740"/>
      <c r="CW332" s="740"/>
      <c r="CX332" s="740"/>
      <c r="CY332" s="740"/>
      <c r="CZ332" s="740"/>
      <c r="DA332" s="740"/>
      <c r="DB332" s="740"/>
      <c r="DC332" s="740"/>
      <c r="DD332" s="740"/>
      <c r="DE332" s="740"/>
      <c r="DF332" s="740"/>
      <c r="DG332" s="740"/>
      <c r="DH332" s="740"/>
      <c r="DI332" s="740"/>
      <c r="DJ332" s="740"/>
      <c r="DK332" s="740"/>
      <c r="DL332" s="740"/>
      <c r="DM332" s="740"/>
      <c r="DN332" s="740"/>
      <c r="DO332" s="740"/>
      <c r="DP332" s="740"/>
      <c r="DQ332" s="740"/>
      <c r="DR332" s="740"/>
      <c r="DS332" s="740"/>
      <c r="DT332" s="740"/>
      <c r="DU332" s="740"/>
      <c r="DV332" s="740"/>
      <c r="DW332" s="740"/>
      <c r="DX332" s="740"/>
      <c r="DY332" s="740"/>
      <c r="DZ332" s="740"/>
      <c r="EA332" s="740"/>
      <c r="EB332" s="740"/>
      <c r="EC332" s="740"/>
      <c r="ED332" s="740"/>
      <c r="EE332" s="740"/>
      <c r="EF332" s="740"/>
      <c r="EG332" s="740"/>
      <c r="EH332" s="740"/>
      <c r="EI332" s="740"/>
      <c r="EJ332" s="740"/>
      <c r="EK332" s="740"/>
      <c r="EL332" s="740"/>
      <c r="EM332" s="740"/>
      <c r="EN332" s="740"/>
      <c r="EO332" s="740"/>
      <c r="EP332" s="740"/>
      <c r="EQ332" s="740"/>
      <c r="ER332" s="740"/>
      <c r="ES332" s="740"/>
      <c r="ET332" s="740"/>
      <c r="EU332" s="740"/>
      <c r="EV332" s="740"/>
      <c r="EW332" s="740"/>
      <c r="EX332" s="740"/>
      <c r="EY332" s="740"/>
      <c r="EZ332" s="740"/>
      <c r="FA332" s="740"/>
      <c r="FB332" s="740"/>
      <c r="FC332" s="740"/>
      <c r="FD332" s="740"/>
      <c r="FE332" s="740"/>
      <c r="FF332" s="740"/>
      <c r="FG332" s="740"/>
      <c r="FH332" s="740"/>
      <c r="FI332" s="740"/>
      <c r="FJ332" s="740"/>
      <c r="FK332" s="740"/>
      <c r="FL332" s="740"/>
      <c r="FM332" s="740"/>
      <c r="FN332" s="740"/>
      <c r="FO332" s="740"/>
      <c r="FP332" s="740"/>
      <c r="FQ332" s="740"/>
      <c r="FR332" s="740"/>
      <c r="FS332" s="740"/>
      <c r="FT332" s="740"/>
      <c r="FU332" s="740"/>
      <c r="FV332" s="740"/>
      <c r="FW332" s="740"/>
      <c r="FX332" s="740"/>
      <c r="FY332" s="740"/>
      <c r="FZ332" s="740"/>
      <c r="GA332" s="740"/>
      <c r="GB332" s="740"/>
      <c r="GC332" s="740"/>
      <c r="GD332" s="740"/>
      <c r="GE332" s="740"/>
      <c r="GF332" s="740"/>
      <c r="GG332" s="740"/>
      <c r="GH332" s="740"/>
      <c r="GI332" s="740"/>
      <c r="GJ332" s="740"/>
      <c r="GK332" s="740"/>
      <c r="GL332" s="740"/>
      <c r="GM332" s="740"/>
      <c r="GN332" s="740"/>
      <c r="GO332" s="740"/>
      <c r="GP332" s="740"/>
      <c r="GQ332" s="740"/>
      <c r="GR332" s="740"/>
      <c r="GS332" s="740"/>
      <c r="GT332" s="740"/>
      <c r="GU332" s="740"/>
      <c r="GV332" s="740"/>
      <c r="GW332" s="740"/>
    </row>
    <row r="333" spans="18:205" ht="24" customHeight="1" x14ac:dyDescent="0.2">
      <c r="R333" s="740"/>
      <c r="S333" s="740"/>
      <c r="T333" s="740"/>
      <c r="U333" s="740"/>
      <c r="V333" s="740"/>
      <c r="W333" s="740"/>
      <c r="X333" s="740"/>
      <c r="Y333" s="740"/>
      <c r="Z333" s="740"/>
      <c r="AA333" s="740"/>
      <c r="AB333" s="740"/>
      <c r="AC333" s="740"/>
      <c r="AD333" s="740"/>
      <c r="AE333" s="740"/>
      <c r="AF333" s="740"/>
      <c r="AG333" s="740"/>
      <c r="AH333" s="740"/>
      <c r="AI333" s="740"/>
      <c r="AJ333" s="740"/>
      <c r="AK333" s="740"/>
      <c r="AL333" s="740"/>
      <c r="AM333" s="740"/>
      <c r="AN333" s="740"/>
      <c r="AO333" s="740"/>
      <c r="AP333" s="740"/>
      <c r="AQ333" s="740"/>
      <c r="AR333" s="740"/>
      <c r="AS333" s="740"/>
      <c r="AT333" s="740"/>
      <c r="AU333" s="740"/>
      <c r="AV333" s="740"/>
      <c r="AW333" s="740"/>
      <c r="AX333" s="740"/>
      <c r="AY333" s="740"/>
      <c r="AZ333" s="740"/>
      <c r="BA333" s="740"/>
      <c r="BB333" s="740"/>
      <c r="BC333" s="740"/>
      <c r="BD333" s="740"/>
      <c r="BE333" s="740"/>
      <c r="BF333" s="740"/>
      <c r="BG333" s="740"/>
      <c r="BH333" s="740"/>
      <c r="BI333" s="740"/>
      <c r="BJ333" s="740"/>
      <c r="BK333" s="740"/>
      <c r="BL333" s="740"/>
      <c r="BM333" s="740"/>
      <c r="BN333" s="740"/>
      <c r="BO333" s="740"/>
      <c r="BP333" s="740"/>
      <c r="BQ333" s="740"/>
      <c r="BR333" s="740"/>
      <c r="BS333" s="740"/>
      <c r="BT333" s="740"/>
      <c r="BU333" s="740"/>
      <c r="BV333" s="740"/>
      <c r="BW333" s="740"/>
      <c r="BX333" s="740"/>
      <c r="BY333" s="740"/>
      <c r="BZ333" s="740"/>
      <c r="CA333" s="740"/>
      <c r="CB333" s="740"/>
      <c r="CC333" s="740"/>
      <c r="CD333" s="740"/>
      <c r="CE333" s="740"/>
      <c r="CF333" s="740"/>
      <c r="CG333" s="740"/>
      <c r="CH333" s="740"/>
      <c r="CI333" s="740"/>
      <c r="CJ333" s="740"/>
      <c r="CK333" s="740"/>
      <c r="CL333" s="740"/>
      <c r="CM333" s="740"/>
      <c r="CN333" s="740"/>
      <c r="CO333" s="740"/>
      <c r="CP333" s="740"/>
      <c r="CQ333" s="740"/>
      <c r="CR333" s="740"/>
      <c r="CS333" s="740"/>
      <c r="CT333" s="740"/>
      <c r="CU333" s="740"/>
      <c r="CV333" s="740"/>
      <c r="CW333" s="740"/>
      <c r="CX333" s="740"/>
      <c r="CY333" s="740"/>
      <c r="CZ333" s="740"/>
      <c r="DA333" s="740"/>
      <c r="DB333" s="740"/>
      <c r="DC333" s="740"/>
      <c r="DD333" s="740"/>
      <c r="DE333" s="740"/>
      <c r="DF333" s="740"/>
      <c r="DG333" s="740"/>
      <c r="DH333" s="740"/>
      <c r="DI333" s="740"/>
      <c r="DJ333" s="740"/>
      <c r="DK333" s="740"/>
      <c r="DL333" s="740"/>
      <c r="DM333" s="740"/>
      <c r="DN333" s="740"/>
      <c r="DO333" s="740"/>
      <c r="DP333" s="740"/>
      <c r="DQ333" s="740"/>
      <c r="DR333" s="740"/>
      <c r="DS333" s="740"/>
      <c r="DT333" s="740"/>
      <c r="DU333" s="740"/>
      <c r="DV333" s="740"/>
      <c r="DW333" s="740"/>
      <c r="DX333" s="740"/>
      <c r="DY333" s="740"/>
      <c r="DZ333" s="740"/>
      <c r="EA333" s="740"/>
      <c r="EB333" s="740"/>
      <c r="EC333" s="740"/>
      <c r="ED333" s="740"/>
      <c r="EE333" s="740"/>
      <c r="EF333" s="740"/>
      <c r="EG333" s="740"/>
      <c r="EH333" s="740"/>
      <c r="EI333" s="740"/>
      <c r="EJ333" s="740"/>
      <c r="EK333" s="740"/>
      <c r="EL333" s="740"/>
      <c r="EM333" s="740"/>
      <c r="EN333" s="740"/>
      <c r="EO333" s="740"/>
      <c r="EP333" s="740"/>
      <c r="EQ333" s="740"/>
      <c r="ER333" s="740"/>
      <c r="ES333" s="740"/>
      <c r="ET333" s="740"/>
      <c r="EU333" s="740"/>
      <c r="EV333" s="740"/>
      <c r="EW333" s="740"/>
      <c r="EX333" s="740"/>
      <c r="EY333" s="740"/>
      <c r="EZ333" s="740"/>
      <c r="FA333" s="740"/>
      <c r="FB333" s="740"/>
      <c r="FC333" s="740"/>
      <c r="FD333" s="740"/>
      <c r="FE333" s="740"/>
      <c r="FF333" s="740"/>
      <c r="FG333" s="740"/>
      <c r="FH333" s="740"/>
      <c r="FI333" s="740"/>
      <c r="FJ333" s="740"/>
      <c r="FK333" s="740"/>
      <c r="FL333" s="740"/>
      <c r="FM333" s="740"/>
      <c r="FN333" s="740"/>
      <c r="FO333" s="740"/>
      <c r="FP333" s="740"/>
      <c r="FQ333" s="740"/>
      <c r="FR333" s="740"/>
      <c r="FS333" s="740"/>
      <c r="FT333" s="740"/>
      <c r="FU333" s="740"/>
      <c r="FV333" s="740"/>
      <c r="FW333" s="740"/>
      <c r="FX333" s="740"/>
      <c r="FY333" s="740"/>
      <c r="FZ333" s="740"/>
      <c r="GA333" s="740"/>
      <c r="GB333" s="740"/>
      <c r="GC333" s="740"/>
      <c r="GD333" s="740"/>
      <c r="GE333" s="740"/>
      <c r="GF333" s="740"/>
      <c r="GG333" s="740"/>
      <c r="GH333" s="740"/>
      <c r="GI333" s="740"/>
      <c r="GJ333" s="740"/>
      <c r="GK333" s="740"/>
      <c r="GL333" s="740"/>
      <c r="GM333" s="740"/>
      <c r="GN333" s="740"/>
      <c r="GO333" s="740"/>
      <c r="GP333" s="740"/>
      <c r="GQ333" s="740"/>
      <c r="GR333" s="740"/>
      <c r="GS333" s="740"/>
      <c r="GT333" s="740"/>
      <c r="GU333" s="740"/>
      <c r="GV333" s="740"/>
      <c r="GW333" s="740"/>
    </row>
    <row r="334" spans="18:205" ht="24" customHeight="1" x14ac:dyDescent="0.2">
      <c r="R334" s="740"/>
      <c r="S334" s="740"/>
      <c r="T334" s="740"/>
      <c r="U334" s="740"/>
      <c r="V334" s="740"/>
      <c r="W334" s="740"/>
      <c r="X334" s="740"/>
      <c r="Y334" s="740"/>
      <c r="Z334" s="740"/>
      <c r="AA334" s="740"/>
      <c r="AB334" s="740"/>
      <c r="AC334" s="740"/>
      <c r="AD334" s="740"/>
      <c r="AE334" s="740"/>
      <c r="AF334" s="740"/>
      <c r="AG334" s="740"/>
      <c r="AH334" s="740"/>
      <c r="AI334" s="740"/>
      <c r="AJ334" s="740"/>
      <c r="AK334" s="740"/>
      <c r="AL334" s="740"/>
      <c r="AM334" s="740"/>
      <c r="AN334" s="740"/>
      <c r="AO334" s="740"/>
      <c r="AP334" s="740"/>
      <c r="AQ334" s="740"/>
      <c r="AR334" s="740"/>
      <c r="AS334" s="740"/>
      <c r="AT334" s="740"/>
      <c r="AU334" s="740"/>
      <c r="AV334" s="740"/>
      <c r="AW334" s="740"/>
      <c r="AX334" s="740"/>
      <c r="AY334" s="740"/>
      <c r="AZ334" s="740"/>
      <c r="BA334" s="740"/>
      <c r="BB334" s="740"/>
      <c r="BC334" s="740"/>
      <c r="BD334" s="740"/>
      <c r="BE334" s="740"/>
      <c r="BF334" s="740"/>
      <c r="BG334" s="740"/>
      <c r="BH334" s="740"/>
      <c r="BI334" s="740"/>
      <c r="BJ334" s="740"/>
      <c r="BK334" s="740"/>
      <c r="BL334" s="740"/>
      <c r="BM334" s="740"/>
      <c r="BN334" s="740"/>
      <c r="BO334" s="740"/>
      <c r="BP334" s="740"/>
      <c r="BQ334" s="740"/>
      <c r="BR334" s="740"/>
      <c r="BS334" s="740"/>
      <c r="BT334" s="740"/>
      <c r="BU334" s="740"/>
      <c r="BV334" s="740"/>
      <c r="BW334" s="740"/>
      <c r="BX334" s="740"/>
      <c r="BY334" s="740"/>
      <c r="BZ334" s="740"/>
      <c r="CA334" s="740"/>
      <c r="CB334" s="740"/>
      <c r="CC334" s="740"/>
      <c r="CD334" s="740"/>
      <c r="CE334" s="740"/>
      <c r="CF334" s="740"/>
      <c r="CG334" s="740"/>
      <c r="CH334" s="740"/>
      <c r="CI334" s="740"/>
      <c r="CJ334" s="740"/>
      <c r="CK334" s="740"/>
      <c r="CL334" s="740"/>
      <c r="CM334" s="740"/>
      <c r="CN334" s="740"/>
      <c r="CO334" s="740"/>
      <c r="CP334" s="740"/>
      <c r="CQ334" s="740"/>
      <c r="CR334" s="740"/>
      <c r="CS334" s="740"/>
      <c r="CT334" s="740"/>
      <c r="CU334" s="740"/>
      <c r="CV334" s="740"/>
      <c r="CW334" s="740"/>
      <c r="CX334" s="740"/>
      <c r="CY334" s="740"/>
      <c r="CZ334" s="740"/>
      <c r="DA334" s="740"/>
      <c r="DB334" s="740"/>
      <c r="DC334" s="740"/>
      <c r="DD334" s="740"/>
      <c r="DE334" s="740"/>
      <c r="DF334" s="740"/>
      <c r="DG334" s="740"/>
      <c r="DH334" s="740"/>
      <c r="DI334" s="740"/>
      <c r="DJ334" s="740"/>
      <c r="DK334" s="740"/>
      <c r="DL334" s="740"/>
      <c r="DM334" s="740"/>
      <c r="DN334" s="740"/>
      <c r="DO334" s="740"/>
      <c r="DP334" s="740"/>
      <c r="DQ334" s="740"/>
      <c r="DR334" s="740"/>
      <c r="DS334" s="740"/>
      <c r="DT334" s="740"/>
      <c r="DU334" s="740"/>
      <c r="DV334" s="740"/>
      <c r="DW334" s="740"/>
      <c r="DX334" s="740"/>
      <c r="DY334" s="740"/>
      <c r="DZ334" s="740"/>
      <c r="EA334" s="740"/>
      <c r="EB334" s="740"/>
      <c r="EC334" s="740"/>
      <c r="ED334" s="740"/>
      <c r="EE334" s="740"/>
      <c r="EF334" s="740"/>
      <c r="EG334" s="740"/>
      <c r="EH334" s="740"/>
      <c r="EI334" s="740"/>
      <c r="EJ334" s="740"/>
      <c r="EK334" s="740"/>
      <c r="EL334" s="740"/>
      <c r="EM334" s="740"/>
      <c r="EN334" s="740"/>
      <c r="EO334" s="740"/>
      <c r="EP334" s="740"/>
      <c r="EQ334" s="740"/>
      <c r="ER334" s="740"/>
      <c r="ES334" s="740"/>
      <c r="ET334" s="740"/>
      <c r="EU334" s="740"/>
      <c r="EV334" s="740"/>
      <c r="EW334" s="740"/>
      <c r="EX334" s="740"/>
      <c r="EY334" s="740"/>
      <c r="EZ334" s="740"/>
      <c r="FA334" s="740"/>
      <c r="FB334" s="740"/>
      <c r="FC334" s="740"/>
      <c r="FD334" s="740"/>
      <c r="FE334" s="740"/>
      <c r="FF334" s="740"/>
      <c r="FG334" s="740"/>
      <c r="FH334" s="740"/>
      <c r="FI334" s="740"/>
      <c r="FJ334" s="740"/>
      <c r="FK334" s="740"/>
      <c r="FL334" s="740"/>
      <c r="FM334" s="740"/>
      <c r="FN334" s="740"/>
      <c r="FO334" s="740"/>
      <c r="FP334" s="740"/>
      <c r="FQ334" s="740"/>
      <c r="FR334" s="740"/>
      <c r="FS334" s="740"/>
      <c r="FT334" s="740"/>
      <c r="FU334" s="740"/>
      <c r="FV334" s="740"/>
      <c r="FW334" s="740"/>
      <c r="FX334" s="740"/>
      <c r="FY334" s="740"/>
      <c r="FZ334" s="740"/>
      <c r="GA334" s="740"/>
      <c r="GB334" s="740"/>
      <c r="GC334" s="740"/>
      <c r="GD334" s="740"/>
      <c r="GE334" s="740"/>
      <c r="GF334" s="740"/>
      <c r="GG334" s="740"/>
      <c r="GH334" s="740"/>
      <c r="GI334" s="740"/>
      <c r="GJ334" s="740"/>
      <c r="GK334" s="740"/>
      <c r="GL334" s="740"/>
      <c r="GM334" s="740"/>
      <c r="GN334" s="740"/>
      <c r="GO334" s="740"/>
      <c r="GP334" s="740"/>
      <c r="GQ334" s="740"/>
      <c r="GR334" s="740"/>
      <c r="GS334" s="740"/>
      <c r="GT334" s="740"/>
      <c r="GU334" s="740"/>
      <c r="GV334" s="740"/>
      <c r="GW334" s="740"/>
    </row>
    <row r="335" spans="18:205" ht="24" customHeight="1" x14ac:dyDescent="0.2">
      <c r="R335" s="740"/>
      <c r="S335" s="740"/>
      <c r="T335" s="740"/>
      <c r="U335" s="740"/>
      <c r="V335" s="740"/>
      <c r="W335" s="740"/>
      <c r="X335" s="740"/>
      <c r="Y335" s="740"/>
      <c r="Z335" s="740"/>
      <c r="AA335" s="740"/>
      <c r="AB335" s="740"/>
      <c r="AC335" s="740"/>
      <c r="AD335" s="740"/>
      <c r="AE335" s="740"/>
      <c r="AF335" s="740"/>
      <c r="AG335" s="740"/>
      <c r="AH335" s="740"/>
      <c r="AI335" s="740"/>
      <c r="AJ335" s="740"/>
      <c r="AK335" s="740"/>
      <c r="AL335" s="740"/>
      <c r="AM335" s="740"/>
      <c r="AN335" s="740"/>
      <c r="AO335" s="740"/>
      <c r="AP335" s="740"/>
      <c r="AQ335" s="740"/>
      <c r="AR335" s="740"/>
      <c r="AS335" s="740"/>
      <c r="AT335" s="740"/>
      <c r="AU335" s="740"/>
      <c r="AV335" s="740"/>
      <c r="AW335" s="740"/>
      <c r="AX335" s="740"/>
      <c r="AY335" s="740"/>
      <c r="AZ335" s="740"/>
      <c r="BA335" s="740"/>
      <c r="BB335" s="740"/>
      <c r="BC335" s="740"/>
      <c r="BD335" s="740"/>
      <c r="BE335" s="740"/>
      <c r="BF335" s="740"/>
      <c r="BG335" s="740"/>
      <c r="BH335" s="740"/>
      <c r="BI335" s="740"/>
      <c r="BJ335" s="740"/>
      <c r="BK335" s="740"/>
      <c r="BL335" s="740"/>
      <c r="BM335" s="740"/>
      <c r="BN335" s="740"/>
      <c r="BO335" s="740"/>
      <c r="BP335" s="740"/>
      <c r="BQ335" s="740"/>
      <c r="BR335" s="740"/>
      <c r="BS335" s="740"/>
      <c r="BT335" s="740"/>
      <c r="BU335" s="740"/>
      <c r="BV335" s="740"/>
      <c r="BW335" s="740"/>
      <c r="BX335" s="740"/>
      <c r="BY335" s="740"/>
      <c r="BZ335" s="740"/>
      <c r="CA335" s="740"/>
      <c r="CB335" s="740"/>
      <c r="CC335" s="740"/>
      <c r="CD335" s="740"/>
      <c r="CE335" s="740"/>
      <c r="CF335" s="740"/>
      <c r="CG335" s="740"/>
      <c r="CH335" s="740"/>
      <c r="CI335" s="740"/>
      <c r="CJ335" s="740"/>
      <c r="CK335" s="740"/>
      <c r="CL335" s="740"/>
      <c r="CM335" s="740"/>
      <c r="CN335" s="740"/>
      <c r="CO335" s="740"/>
      <c r="CP335" s="740"/>
      <c r="CQ335" s="740"/>
      <c r="CR335" s="740"/>
      <c r="CS335" s="740"/>
      <c r="CT335" s="740"/>
      <c r="CU335" s="740"/>
      <c r="CV335" s="740"/>
      <c r="CW335" s="740"/>
      <c r="CX335" s="740"/>
      <c r="CY335" s="740"/>
      <c r="CZ335" s="740"/>
      <c r="DA335" s="740"/>
      <c r="DB335" s="740"/>
      <c r="DC335" s="740"/>
      <c r="DD335" s="740"/>
      <c r="DE335" s="740"/>
      <c r="DF335" s="740"/>
      <c r="DG335" s="740"/>
      <c r="DH335" s="740"/>
      <c r="DI335" s="740"/>
      <c r="DJ335" s="740"/>
      <c r="DK335" s="740"/>
      <c r="DL335" s="740"/>
      <c r="DM335" s="740"/>
      <c r="DN335" s="740"/>
      <c r="DO335" s="740"/>
      <c r="DP335" s="740"/>
      <c r="DQ335" s="740"/>
      <c r="DR335" s="740"/>
      <c r="DS335" s="740"/>
      <c r="DT335" s="740"/>
      <c r="DU335" s="740"/>
      <c r="DV335" s="740"/>
      <c r="DW335" s="740"/>
      <c r="DX335" s="740"/>
      <c r="DY335" s="740"/>
      <c r="DZ335" s="740"/>
      <c r="EA335" s="740"/>
      <c r="EB335" s="740"/>
      <c r="EC335" s="740"/>
      <c r="ED335" s="740"/>
      <c r="EE335" s="740"/>
      <c r="EF335" s="740"/>
      <c r="EG335" s="740"/>
      <c r="EH335" s="740"/>
      <c r="EI335" s="740"/>
      <c r="EJ335" s="740"/>
      <c r="EK335" s="740"/>
      <c r="EL335" s="740"/>
      <c r="EM335" s="740"/>
      <c r="EN335" s="740"/>
      <c r="EO335" s="740"/>
      <c r="EP335" s="740"/>
      <c r="EQ335" s="740"/>
      <c r="ER335" s="740"/>
      <c r="ES335" s="740"/>
      <c r="ET335" s="740"/>
      <c r="EU335" s="740"/>
      <c r="EV335" s="740"/>
      <c r="EW335" s="740"/>
      <c r="EX335" s="740"/>
      <c r="EY335" s="740"/>
      <c r="EZ335" s="740"/>
      <c r="FA335" s="740"/>
      <c r="FB335" s="740"/>
      <c r="FC335" s="740"/>
      <c r="FD335" s="740"/>
      <c r="FE335" s="740"/>
      <c r="FF335" s="740"/>
      <c r="FG335" s="740"/>
      <c r="FH335" s="740"/>
      <c r="FI335" s="740"/>
      <c r="FJ335" s="740"/>
      <c r="FK335" s="740"/>
      <c r="FL335" s="740"/>
      <c r="FM335" s="740"/>
      <c r="FN335" s="740"/>
      <c r="FO335" s="740"/>
      <c r="FP335" s="740"/>
      <c r="FQ335" s="740"/>
      <c r="FR335" s="740"/>
      <c r="FS335" s="740"/>
      <c r="FT335" s="740"/>
      <c r="FU335" s="740"/>
      <c r="FV335" s="740"/>
      <c r="FW335" s="740"/>
      <c r="FX335" s="740"/>
      <c r="FY335" s="740"/>
      <c r="FZ335" s="740"/>
      <c r="GA335" s="740"/>
      <c r="GB335" s="740"/>
      <c r="GC335" s="740"/>
      <c r="GD335" s="740"/>
      <c r="GE335" s="740"/>
      <c r="GF335" s="740"/>
      <c r="GG335" s="740"/>
      <c r="GH335" s="740"/>
      <c r="GI335" s="740"/>
      <c r="GJ335" s="740"/>
      <c r="GK335" s="740"/>
      <c r="GL335" s="740"/>
      <c r="GM335" s="740"/>
      <c r="GN335" s="740"/>
      <c r="GO335" s="740"/>
      <c r="GP335" s="740"/>
      <c r="GQ335" s="740"/>
      <c r="GR335" s="740"/>
      <c r="GS335" s="740"/>
      <c r="GT335" s="740"/>
      <c r="GU335" s="740"/>
      <c r="GV335" s="740"/>
      <c r="GW335" s="740"/>
    </row>
    <row r="336" spans="18:205" ht="24" customHeight="1" x14ac:dyDescent="0.2">
      <c r="R336" s="740"/>
      <c r="S336" s="740"/>
      <c r="T336" s="740"/>
      <c r="U336" s="740"/>
      <c r="V336" s="740"/>
      <c r="W336" s="740"/>
      <c r="X336" s="740"/>
      <c r="Y336" s="740"/>
      <c r="Z336" s="740"/>
      <c r="AA336" s="740"/>
      <c r="AB336" s="740"/>
      <c r="AC336" s="740"/>
      <c r="AD336" s="740"/>
      <c r="AE336" s="740"/>
      <c r="AF336" s="740"/>
      <c r="AG336" s="740"/>
      <c r="AH336" s="740"/>
      <c r="AI336" s="740"/>
      <c r="AJ336" s="740"/>
      <c r="AK336" s="740"/>
      <c r="AL336" s="740"/>
      <c r="AM336" s="740"/>
      <c r="AN336" s="740"/>
      <c r="AO336" s="740"/>
      <c r="AP336" s="740"/>
      <c r="AQ336" s="740"/>
      <c r="AR336" s="740"/>
      <c r="AS336" s="740"/>
      <c r="AT336" s="740"/>
      <c r="AU336" s="740"/>
      <c r="AV336" s="740"/>
      <c r="AW336" s="740"/>
      <c r="AX336" s="740"/>
      <c r="AY336" s="740"/>
      <c r="AZ336" s="740"/>
      <c r="BA336" s="740"/>
      <c r="BB336" s="740"/>
      <c r="BC336" s="740"/>
      <c r="BD336" s="740"/>
      <c r="BE336" s="740"/>
      <c r="BF336" s="740"/>
      <c r="BG336" s="740"/>
      <c r="BH336" s="740"/>
      <c r="BI336" s="740"/>
      <c r="BJ336" s="740"/>
      <c r="BK336" s="740"/>
      <c r="BL336" s="740"/>
      <c r="BM336" s="740"/>
      <c r="BN336" s="740"/>
      <c r="BO336" s="740"/>
      <c r="BP336" s="740"/>
      <c r="BQ336" s="740"/>
      <c r="BR336" s="740"/>
      <c r="BS336" s="740"/>
      <c r="BT336" s="740"/>
      <c r="BU336" s="740"/>
      <c r="BV336" s="740"/>
      <c r="BW336" s="740"/>
      <c r="BX336" s="740"/>
      <c r="BY336" s="740"/>
      <c r="BZ336" s="740"/>
      <c r="CA336" s="740"/>
      <c r="CB336" s="740"/>
      <c r="CC336" s="740"/>
      <c r="CD336" s="740"/>
      <c r="CE336" s="740"/>
      <c r="CF336" s="740"/>
      <c r="CG336" s="740"/>
      <c r="CH336" s="740"/>
      <c r="CI336" s="740"/>
      <c r="CJ336" s="740"/>
      <c r="CK336" s="740"/>
      <c r="CL336" s="740"/>
      <c r="CM336" s="740"/>
      <c r="CN336" s="740"/>
      <c r="CO336" s="740"/>
      <c r="CP336" s="740"/>
      <c r="CQ336" s="740"/>
      <c r="CR336" s="740"/>
      <c r="CS336" s="740"/>
      <c r="CT336" s="740"/>
      <c r="CU336" s="740"/>
      <c r="CV336" s="740"/>
      <c r="CW336" s="740"/>
      <c r="CX336" s="740"/>
      <c r="CY336" s="740"/>
      <c r="CZ336" s="740"/>
      <c r="DA336" s="740"/>
      <c r="DB336" s="740"/>
      <c r="DC336" s="740"/>
      <c r="DD336" s="740"/>
      <c r="DE336" s="740"/>
      <c r="DF336" s="740"/>
      <c r="DG336" s="740"/>
      <c r="DH336" s="740"/>
      <c r="DI336" s="740"/>
      <c r="DJ336" s="740"/>
      <c r="DK336" s="740"/>
      <c r="DL336" s="740"/>
      <c r="DM336" s="740"/>
      <c r="DN336" s="740"/>
      <c r="DO336" s="740"/>
      <c r="DP336" s="740"/>
      <c r="DQ336" s="740"/>
      <c r="DR336" s="740"/>
      <c r="DS336" s="740"/>
      <c r="DT336" s="740"/>
      <c r="DU336" s="740"/>
      <c r="DV336" s="740"/>
      <c r="DW336" s="740"/>
      <c r="DX336" s="740"/>
      <c r="DY336" s="740"/>
      <c r="DZ336" s="740"/>
      <c r="EA336" s="740"/>
      <c r="EB336" s="740"/>
      <c r="EC336" s="740"/>
      <c r="ED336" s="740"/>
      <c r="EE336" s="740"/>
      <c r="EF336" s="740"/>
      <c r="EG336" s="740"/>
      <c r="EH336" s="740"/>
      <c r="EI336" s="740"/>
      <c r="EJ336" s="740"/>
      <c r="EK336" s="740"/>
      <c r="EL336" s="740"/>
      <c r="EM336" s="740"/>
      <c r="EN336" s="740"/>
      <c r="EO336" s="740"/>
      <c r="EP336" s="740"/>
      <c r="EQ336" s="740"/>
      <c r="ER336" s="740"/>
      <c r="ES336" s="740"/>
      <c r="ET336" s="740"/>
      <c r="EU336" s="740"/>
      <c r="EV336" s="740"/>
      <c r="EW336" s="740"/>
      <c r="EX336" s="740"/>
      <c r="EY336" s="740"/>
      <c r="EZ336" s="740"/>
      <c r="FA336" s="740"/>
      <c r="FB336" s="740"/>
      <c r="FC336" s="740"/>
      <c r="FD336" s="740"/>
      <c r="FE336" s="740"/>
      <c r="FF336" s="740"/>
      <c r="FG336" s="740"/>
      <c r="FH336" s="740"/>
      <c r="FI336" s="740"/>
      <c r="FJ336" s="740"/>
      <c r="FK336" s="740"/>
      <c r="FL336" s="740"/>
      <c r="FM336" s="740"/>
      <c r="FN336" s="740"/>
      <c r="FO336" s="740"/>
      <c r="FP336" s="740"/>
      <c r="FQ336" s="740"/>
      <c r="FR336" s="740"/>
      <c r="FS336" s="740"/>
      <c r="FT336" s="740"/>
      <c r="FU336" s="740"/>
      <c r="FV336" s="740"/>
      <c r="FW336" s="740"/>
      <c r="FX336" s="740"/>
      <c r="FY336" s="740"/>
      <c r="FZ336" s="740"/>
      <c r="GA336" s="740"/>
      <c r="GB336" s="740"/>
      <c r="GC336" s="740"/>
      <c r="GD336" s="740"/>
      <c r="GE336" s="740"/>
      <c r="GF336" s="740"/>
      <c r="GG336" s="740"/>
      <c r="GH336" s="740"/>
      <c r="GI336" s="740"/>
      <c r="GJ336" s="740"/>
      <c r="GK336" s="740"/>
      <c r="GL336" s="740"/>
      <c r="GM336" s="740"/>
      <c r="GN336" s="740"/>
      <c r="GO336" s="740"/>
      <c r="GP336" s="740"/>
      <c r="GQ336" s="740"/>
      <c r="GR336" s="740"/>
      <c r="GS336" s="740"/>
      <c r="GT336" s="740"/>
      <c r="GU336" s="740"/>
      <c r="GV336" s="740"/>
      <c r="GW336" s="740"/>
    </row>
    <row r="337" spans="18:205" ht="24" customHeight="1" x14ac:dyDescent="0.2">
      <c r="R337" s="740"/>
      <c r="S337" s="740"/>
      <c r="T337" s="740"/>
      <c r="U337" s="740"/>
      <c r="V337" s="740"/>
      <c r="W337" s="740"/>
      <c r="X337" s="740"/>
      <c r="Y337" s="740"/>
      <c r="Z337" s="740"/>
      <c r="AA337" s="740"/>
      <c r="AB337" s="740"/>
      <c r="AC337" s="740"/>
      <c r="AD337" s="740"/>
      <c r="AE337" s="740"/>
      <c r="AF337" s="740"/>
      <c r="AG337" s="740"/>
      <c r="AH337" s="740"/>
      <c r="AI337" s="740"/>
      <c r="AJ337" s="740"/>
      <c r="AK337" s="740"/>
      <c r="AL337" s="740"/>
      <c r="AM337" s="740"/>
      <c r="AN337" s="740"/>
      <c r="AO337" s="740"/>
      <c r="AP337" s="740"/>
      <c r="AQ337" s="740"/>
      <c r="AR337" s="740"/>
      <c r="AS337" s="740"/>
      <c r="AT337" s="740"/>
      <c r="AU337" s="740"/>
      <c r="AV337" s="740"/>
      <c r="AW337" s="740"/>
      <c r="AX337" s="740"/>
      <c r="AY337" s="740"/>
      <c r="AZ337" s="740"/>
      <c r="BA337" s="740"/>
      <c r="BB337" s="740"/>
      <c r="BC337" s="740"/>
      <c r="BD337" s="740"/>
      <c r="BE337" s="740"/>
      <c r="BF337" s="740"/>
      <c r="BG337" s="740"/>
      <c r="BH337" s="740"/>
      <c r="BI337" s="740"/>
      <c r="BJ337" s="740"/>
      <c r="BK337" s="740"/>
      <c r="BL337" s="740"/>
      <c r="BM337" s="740"/>
      <c r="BN337" s="740"/>
      <c r="BO337" s="740"/>
      <c r="BP337" s="740"/>
      <c r="BQ337" s="740"/>
      <c r="BR337" s="740"/>
      <c r="BS337" s="740"/>
      <c r="BT337" s="740"/>
      <c r="BU337" s="740"/>
      <c r="BV337" s="740"/>
      <c r="BW337" s="740"/>
      <c r="BX337" s="740"/>
      <c r="BY337" s="740"/>
      <c r="BZ337" s="740"/>
      <c r="CA337" s="740"/>
      <c r="CB337" s="740"/>
      <c r="CC337" s="740"/>
      <c r="CD337" s="740"/>
      <c r="CE337" s="740"/>
      <c r="CF337" s="740"/>
      <c r="CG337" s="740"/>
      <c r="CH337" s="740"/>
      <c r="CI337" s="740"/>
      <c r="CJ337" s="740"/>
      <c r="CK337" s="740"/>
      <c r="CL337" s="740"/>
      <c r="CM337" s="740"/>
      <c r="CN337" s="740"/>
      <c r="CO337" s="740"/>
      <c r="CP337" s="740"/>
      <c r="CQ337" s="740"/>
      <c r="CR337" s="740"/>
      <c r="CS337" s="740"/>
      <c r="CT337" s="740"/>
      <c r="CU337" s="740"/>
      <c r="CV337" s="740"/>
      <c r="CW337" s="740"/>
      <c r="CX337" s="740"/>
      <c r="CY337" s="740"/>
      <c r="CZ337" s="740"/>
      <c r="DA337" s="740"/>
      <c r="DB337" s="740"/>
      <c r="DC337" s="740"/>
      <c r="DD337" s="740"/>
      <c r="DE337" s="740"/>
      <c r="DF337" s="740"/>
      <c r="DG337" s="740"/>
      <c r="DH337" s="740"/>
      <c r="DI337" s="740"/>
      <c r="DJ337" s="740"/>
      <c r="DK337" s="740"/>
      <c r="DL337" s="740"/>
      <c r="DM337" s="740"/>
      <c r="DN337" s="740"/>
      <c r="DO337" s="740"/>
      <c r="DP337" s="740"/>
      <c r="DQ337" s="740"/>
      <c r="DR337" s="740"/>
      <c r="DS337" s="740"/>
      <c r="DT337" s="740"/>
      <c r="DU337" s="740"/>
      <c r="DV337" s="740"/>
      <c r="DW337" s="740"/>
      <c r="DX337" s="740"/>
      <c r="DY337" s="740"/>
      <c r="DZ337" s="740"/>
      <c r="EA337" s="740"/>
      <c r="EB337" s="740"/>
      <c r="EC337" s="740"/>
      <c r="ED337" s="740"/>
      <c r="EE337" s="740"/>
      <c r="EF337" s="740"/>
      <c r="EG337" s="740"/>
      <c r="EH337" s="740"/>
      <c r="EI337" s="740"/>
      <c r="EJ337" s="740"/>
      <c r="EK337" s="740"/>
      <c r="EL337" s="740"/>
      <c r="EM337" s="740"/>
      <c r="EN337" s="740"/>
      <c r="EO337" s="740"/>
      <c r="EP337" s="740"/>
      <c r="EQ337" s="740"/>
      <c r="ER337" s="740"/>
      <c r="ES337" s="740"/>
      <c r="ET337" s="740"/>
      <c r="EU337" s="740"/>
      <c r="EV337" s="740"/>
      <c r="EW337" s="740"/>
      <c r="EX337" s="740"/>
      <c r="EY337" s="740"/>
      <c r="EZ337" s="740"/>
      <c r="FA337" s="740"/>
      <c r="FB337" s="740"/>
      <c r="FC337" s="740"/>
      <c r="FD337" s="740"/>
      <c r="FE337" s="740"/>
      <c r="FF337" s="740"/>
      <c r="FG337" s="740"/>
      <c r="FH337" s="740"/>
      <c r="FI337" s="740"/>
      <c r="FJ337" s="740"/>
      <c r="FK337" s="740"/>
      <c r="FL337" s="740"/>
      <c r="FM337" s="740"/>
      <c r="FN337" s="740"/>
      <c r="FO337" s="740"/>
      <c r="FP337" s="740"/>
      <c r="FQ337" s="740"/>
      <c r="FR337" s="740"/>
      <c r="FS337" s="740"/>
      <c r="FT337" s="740"/>
      <c r="FU337" s="740"/>
      <c r="FV337" s="740"/>
      <c r="FW337" s="740"/>
      <c r="FX337" s="740"/>
      <c r="FY337" s="740"/>
      <c r="FZ337" s="740"/>
      <c r="GA337" s="740"/>
      <c r="GB337" s="740"/>
      <c r="GC337" s="740"/>
      <c r="GD337" s="740"/>
      <c r="GE337" s="740"/>
      <c r="GF337" s="740"/>
      <c r="GG337" s="740"/>
      <c r="GH337" s="740"/>
      <c r="GI337" s="740"/>
      <c r="GJ337" s="740"/>
      <c r="GK337" s="740"/>
      <c r="GL337" s="740"/>
      <c r="GM337" s="740"/>
      <c r="GN337" s="740"/>
      <c r="GO337" s="740"/>
      <c r="GP337" s="740"/>
      <c r="GQ337" s="740"/>
      <c r="GR337" s="740"/>
      <c r="GS337" s="740"/>
      <c r="GT337" s="740"/>
      <c r="GU337" s="740"/>
      <c r="GV337" s="740"/>
      <c r="GW337" s="740"/>
    </row>
    <row r="338" spans="18:205" ht="24" customHeight="1" x14ac:dyDescent="0.2">
      <c r="R338" s="740"/>
      <c r="S338" s="740"/>
      <c r="T338" s="740"/>
      <c r="U338" s="740"/>
      <c r="V338" s="740"/>
      <c r="W338" s="740"/>
      <c r="X338" s="740"/>
      <c r="Y338" s="740"/>
      <c r="Z338" s="740"/>
      <c r="AA338" s="740"/>
      <c r="AB338" s="740"/>
      <c r="AC338" s="740"/>
      <c r="AD338" s="740"/>
      <c r="AE338" s="740"/>
      <c r="AF338" s="740"/>
      <c r="AG338" s="740"/>
      <c r="AH338" s="740"/>
      <c r="AI338" s="740"/>
      <c r="AJ338" s="740"/>
      <c r="AK338" s="740"/>
      <c r="AL338" s="740"/>
      <c r="AM338" s="740"/>
      <c r="AN338" s="740"/>
      <c r="AO338" s="740"/>
      <c r="AP338" s="740"/>
      <c r="AQ338" s="740"/>
      <c r="AR338" s="740"/>
      <c r="AS338" s="740"/>
      <c r="AT338" s="740"/>
      <c r="AU338" s="740"/>
      <c r="AV338" s="740"/>
      <c r="AW338" s="740"/>
      <c r="AX338" s="740"/>
      <c r="AY338" s="740"/>
      <c r="AZ338" s="740"/>
      <c r="BA338" s="740"/>
      <c r="BB338" s="740"/>
      <c r="BC338" s="740"/>
      <c r="BD338" s="740"/>
      <c r="BE338" s="740"/>
      <c r="BF338" s="740"/>
      <c r="BG338" s="740"/>
      <c r="BH338" s="740"/>
      <c r="BI338" s="740"/>
      <c r="BJ338" s="740"/>
      <c r="BK338" s="740"/>
      <c r="BL338" s="740"/>
      <c r="BM338" s="740"/>
      <c r="BN338" s="740"/>
      <c r="BO338" s="740"/>
      <c r="BP338" s="740"/>
      <c r="BQ338" s="740"/>
      <c r="BR338" s="740"/>
      <c r="BS338" s="740"/>
      <c r="BT338" s="740"/>
      <c r="BU338" s="740"/>
      <c r="BV338" s="740"/>
      <c r="BW338" s="740"/>
      <c r="BX338" s="740"/>
      <c r="BY338" s="740"/>
      <c r="BZ338" s="740"/>
      <c r="CA338" s="740"/>
      <c r="CB338" s="740"/>
      <c r="CC338" s="740"/>
      <c r="CD338" s="740"/>
      <c r="CE338" s="740"/>
      <c r="CF338" s="740"/>
      <c r="CG338" s="740"/>
      <c r="CH338" s="740"/>
      <c r="CI338" s="740"/>
      <c r="CJ338" s="740"/>
      <c r="CK338" s="740"/>
      <c r="CL338" s="740"/>
      <c r="CM338" s="740"/>
      <c r="CN338" s="740"/>
      <c r="CO338" s="740"/>
      <c r="CP338" s="740"/>
      <c r="CQ338" s="740"/>
      <c r="CR338" s="740"/>
      <c r="CS338" s="740"/>
      <c r="CT338" s="740"/>
      <c r="CU338" s="740"/>
      <c r="CV338" s="740"/>
      <c r="CW338" s="740"/>
      <c r="CX338" s="740"/>
      <c r="CY338" s="740"/>
      <c r="CZ338" s="740"/>
      <c r="DA338" s="740"/>
      <c r="DB338" s="740"/>
      <c r="DC338" s="740"/>
      <c r="DD338" s="740"/>
      <c r="DE338" s="740"/>
      <c r="DF338" s="740"/>
      <c r="DG338" s="740"/>
      <c r="DH338" s="740"/>
      <c r="DI338" s="740"/>
      <c r="DJ338" s="740"/>
      <c r="DK338" s="740"/>
      <c r="DL338" s="740"/>
      <c r="DM338" s="740"/>
      <c r="DN338" s="740"/>
      <c r="DO338" s="740"/>
      <c r="DP338" s="740"/>
      <c r="DQ338" s="740"/>
      <c r="DR338" s="740"/>
      <c r="DS338" s="740"/>
      <c r="DT338" s="740"/>
      <c r="DU338" s="740"/>
      <c r="DV338" s="740"/>
      <c r="DW338" s="740"/>
      <c r="DX338" s="740"/>
      <c r="DY338" s="740"/>
      <c r="DZ338" s="740"/>
      <c r="EA338" s="740"/>
      <c r="EB338" s="740"/>
      <c r="EC338" s="740"/>
      <c r="ED338" s="740"/>
      <c r="EE338" s="740"/>
      <c r="EF338" s="740"/>
      <c r="EG338" s="740"/>
      <c r="EH338" s="740"/>
      <c r="EI338" s="740"/>
      <c r="EJ338" s="740"/>
      <c r="EK338" s="740"/>
      <c r="EL338" s="740"/>
      <c r="EM338" s="740"/>
      <c r="EN338" s="740"/>
      <c r="EO338" s="740"/>
      <c r="EP338" s="740"/>
      <c r="EQ338" s="740"/>
      <c r="ER338" s="740"/>
      <c r="ES338" s="740"/>
      <c r="ET338" s="740"/>
      <c r="EU338" s="740"/>
      <c r="EV338" s="740"/>
      <c r="EW338" s="740"/>
      <c r="EX338" s="740"/>
      <c r="EY338" s="740"/>
      <c r="EZ338" s="740"/>
      <c r="FA338" s="740"/>
      <c r="FB338" s="740"/>
      <c r="FC338" s="740"/>
      <c r="FD338" s="740"/>
      <c r="FE338" s="740"/>
      <c r="FF338" s="740"/>
      <c r="FG338" s="740"/>
      <c r="FH338" s="740"/>
      <c r="FI338" s="740"/>
      <c r="FJ338" s="740"/>
      <c r="FK338" s="740"/>
      <c r="FL338" s="740"/>
      <c r="FM338" s="740"/>
      <c r="FN338" s="740"/>
      <c r="FO338" s="740"/>
      <c r="FP338" s="740"/>
      <c r="FQ338" s="740"/>
      <c r="FR338" s="740"/>
      <c r="FS338" s="740"/>
      <c r="FT338" s="740"/>
      <c r="FU338" s="740"/>
      <c r="FV338" s="740"/>
      <c r="FW338" s="740"/>
      <c r="FX338" s="740"/>
      <c r="FY338" s="740"/>
      <c r="FZ338" s="740"/>
      <c r="GA338" s="740"/>
      <c r="GB338" s="740"/>
      <c r="GC338" s="740"/>
      <c r="GD338" s="740"/>
      <c r="GE338" s="740"/>
      <c r="GF338" s="740"/>
      <c r="GG338" s="740"/>
      <c r="GH338" s="740"/>
      <c r="GI338" s="740"/>
      <c r="GJ338" s="740"/>
      <c r="GK338" s="740"/>
      <c r="GL338" s="740"/>
      <c r="GM338" s="740"/>
      <c r="GN338" s="740"/>
      <c r="GO338" s="740"/>
      <c r="GP338" s="740"/>
      <c r="GQ338" s="740"/>
      <c r="GR338" s="740"/>
      <c r="GS338" s="740"/>
      <c r="GT338" s="740"/>
      <c r="GU338" s="740"/>
      <c r="GV338" s="740"/>
      <c r="GW338" s="740"/>
    </row>
    <row r="339" spans="18:205" ht="24" customHeight="1" x14ac:dyDescent="0.2">
      <c r="R339" s="740"/>
      <c r="S339" s="740"/>
      <c r="T339" s="740"/>
      <c r="U339" s="740"/>
      <c r="V339" s="740"/>
      <c r="W339" s="740"/>
      <c r="X339" s="740"/>
      <c r="Y339" s="740"/>
      <c r="Z339" s="740"/>
      <c r="AA339" s="740"/>
      <c r="AB339" s="740"/>
      <c r="AC339" s="740"/>
      <c r="AD339" s="740"/>
      <c r="AE339" s="740"/>
      <c r="AF339" s="740"/>
      <c r="AG339" s="740"/>
      <c r="AH339" s="740"/>
      <c r="AI339" s="740"/>
      <c r="AJ339" s="740"/>
      <c r="AK339" s="740"/>
      <c r="AL339" s="740"/>
      <c r="AM339" s="740"/>
      <c r="AN339" s="740"/>
      <c r="AO339" s="740"/>
      <c r="AP339" s="740"/>
      <c r="AQ339" s="740"/>
      <c r="AR339" s="740"/>
      <c r="AS339" s="740"/>
      <c r="AT339" s="740"/>
      <c r="AU339" s="740"/>
      <c r="AV339" s="740"/>
      <c r="AW339" s="740"/>
      <c r="AX339" s="740"/>
      <c r="AY339" s="740"/>
      <c r="AZ339" s="740"/>
      <c r="BA339" s="740"/>
      <c r="BB339" s="740"/>
      <c r="BC339" s="740"/>
      <c r="BD339" s="740"/>
      <c r="BE339" s="740"/>
      <c r="BF339" s="740"/>
      <c r="BG339" s="740"/>
      <c r="BH339" s="740"/>
      <c r="BI339" s="740"/>
      <c r="BJ339" s="740"/>
      <c r="BK339" s="740"/>
      <c r="BL339" s="740"/>
      <c r="BM339" s="740"/>
      <c r="BN339" s="740"/>
      <c r="BO339" s="740"/>
      <c r="BP339" s="740"/>
      <c r="BQ339" s="740"/>
      <c r="BR339" s="740"/>
      <c r="BS339" s="740"/>
      <c r="BT339" s="740"/>
      <c r="BU339" s="740"/>
      <c r="BV339" s="740"/>
      <c r="BW339" s="740"/>
      <c r="BX339" s="740"/>
      <c r="BY339" s="740"/>
      <c r="BZ339" s="740"/>
      <c r="CA339" s="740"/>
      <c r="CB339" s="740"/>
      <c r="CC339" s="740"/>
      <c r="CD339" s="740"/>
      <c r="CE339" s="740"/>
      <c r="CF339" s="740"/>
      <c r="CG339" s="740"/>
      <c r="CH339" s="740"/>
      <c r="CI339" s="740"/>
      <c r="CJ339" s="740"/>
      <c r="CK339" s="740"/>
      <c r="CL339" s="740"/>
      <c r="CM339" s="740"/>
      <c r="CN339" s="740"/>
      <c r="CO339" s="740"/>
      <c r="CP339" s="740"/>
      <c r="CQ339" s="740"/>
      <c r="CR339" s="740"/>
      <c r="CS339" s="740"/>
      <c r="CT339" s="740"/>
      <c r="CU339" s="740"/>
      <c r="CV339" s="740"/>
      <c r="CW339" s="740"/>
      <c r="CX339" s="740"/>
      <c r="CY339" s="740"/>
      <c r="CZ339" s="740"/>
      <c r="DA339" s="740"/>
      <c r="DB339" s="740"/>
      <c r="DC339" s="740"/>
      <c r="DD339" s="740"/>
      <c r="DE339" s="740"/>
      <c r="DF339" s="740"/>
      <c r="DG339" s="740"/>
      <c r="DH339" s="740"/>
      <c r="DI339" s="740"/>
      <c r="DJ339" s="740"/>
      <c r="DK339" s="740"/>
      <c r="DL339" s="740"/>
      <c r="DM339" s="740"/>
      <c r="DN339" s="740"/>
      <c r="DO339" s="740"/>
      <c r="DP339" s="740"/>
      <c r="DQ339" s="740"/>
      <c r="DR339" s="740"/>
      <c r="DS339" s="740"/>
      <c r="DT339" s="740"/>
      <c r="DU339" s="740"/>
      <c r="DV339" s="740"/>
      <c r="DW339" s="740"/>
      <c r="DX339" s="740"/>
      <c r="DY339" s="740"/>
      <c r="DZ339" s="740"/>
      <c r="EA339" s="740"/>
      <c r="EB339" s="740"/>
      <c r="EC339" s="740"/>
      <c r="ED339" s="740"/>
      <c r="EE339" s="740"/>
      <c r="EF339" s="740"/>
      <c r="EG339" s="740"/>
      <c r="EH339" s="740"/>
      <c r="EI339" s="740"/>
      <c r="EJ339" s="740"/>
      <c r="EK339" s="740"/>
      <c r="EL339" s="740"/>
      <c r="EM339" s="740"/>
      <c r="EN339" s="740"/>
      <c r="EO339" s="740"/>
      <c r="EP339" s="740"/>
      <c r="EQ339" s="740"/>
      <c r="ER339" s="740"/>
      <c r="ES339" s="740"/>
      <c r="ET339" s="740"/>
      <c r="EU339" s="740"/>
      <c r="EV339" s="740"/>
      <c r="EW339" s="740"/>
      <c r="EX339" s="740"/>
      <c r="EY339" s="740"/>
      <c r="EZ339" s="740"/>
      <c r="FA339" s="740"/>
      <c r="FB339" s="740"/>
      <c r="FC339" s="740"/>
      <c r="FD339" s="740"/>
      <c r="FE339" s="740"/>
      <c r="FF339" s="740"/>
      <c r="FG339" s="740"/>
      <c r="FH339" s="740"/>
      <c r="FI339" s="740"/>
      <c r="FJ339" s="740"/>
      <c r="FK339" s="740"/>
      <c r="FL339" s="740"/>
      <c r="FM339" s="740"/>
      <c r="FN339" s="740"/>
      <c r="FO339" s="740"/>
      <c r="FP339" s="740"/>
      <c r="FQ339" s="740"/>
      <c r="FR339" s="740"/>
      <c r="FS339" s="740"/>
      <c r="FT339" s="740"/>
      <c r="FU339" s="740"/>
      <c r="FV339" s="740"/>
      <c r="FW339" s="740"/>
      <c r="FX339" s="740"/>
      <c r="FY339" s="740"/>
      <c r="FZ339" s="740"/>
      <c r="GA339" s="740"/>
      <c r="GB339" s="740"/>
      <c r="GC339" s="740"/>
      <c r="GD339" s="740"/>
      <c r="GE339" s="740"/>
      <c r="GF339" s="740"/>
      <c r="GG339" s="740"/>
      <c r="GH339" s="740"/>
      <c r="GI339" s="740"/>
      <c r="GJ339" s="740"/>
      <c r="GK339" s="740"/>
      <c r="GL339" s="740"/>
      <c r="GM339" s="740"/>
      <c r="GN339" s="740"/>
      <c r="GO339" s="740"/>
      <c r="GP339" s="740"/>
      <c r="GQ339" s="740"/>
      <c r="GR339" s="740"/>
      <c r="GS339" s="740"/>
      <c r="GT339" s="740"/>
      <c r="GU339" s="740"/>
      <c r="GV339" s="740"/>
      <c r="GW339" s="740"/>
    </row>
    <row r="340" spans="18:205" ht="24" customHeight="1" x14ac:dyDescent="0.2">
      <c r="R340" s="740"/>
      <c r="S340" s="740"/>
      <c r="T340" s="740"/>
      <c r="U340" s="740"/>
      <c r="V340" s="740"/>
      <c r="W340" s="740"/>
      <c r="X340" s="740"/>
      <c r="Y340" s="740"/>
      <c r="Z340" s="740"/>
      <c r="AA340" s="740"/>
      <c r="AB340" s="740"/>
      <c r="AC340" s="740"/>
      <c r="AD340" s="740"/>
      <c r="AE340" s="740"/>
      <c r="AF340" s="740"/>
      <c r="AG340" s="740"/>
      <c r="AH340" s="740"/>
      <c r="AI340" s="740"/>
      <c r="AJ340" s="740"/>
      <c r="AK340" s="740"/>
      <c r="AL340" s="740"/>
      <c r="AM340" s="740"/>
      <c r="AN340" s="740"/>
      <c r="AO340" s="740"/>
      <c r="AP340" s="740"/>
      <c r="AQ340" s="740"/>
      <c r="AR340" s="740"/>
      <c r="AS340" s="740"/>
      <c r="AT340" s="740"/>
      <c r="AU340" s="740"/>
      <c r="AV340" s="740"/>
      <c r="AW340" s="740"/>
      <c r="AX340" s="740"/>
      <c r="AY340" s="740"/>
      <c r="AZ340" s="740"/>
      <c r="BA340" s="740"/>
      <c r="BB340" s="740"/>
      <c r="BC340" s="740"/>
      <c r="BD340" s="740"/>
      <c r="BE340" s="740"/>
      <c r="BF340" s="740"/>
      <c r="BG340" s="740"/>
      <c r="BH340" s="740"/>
      <c r="BI340" s="740"/>
      <c r="BJ340" s="740"/>
      <c r="BK340" s="740"/>
      <c r="BL340" s="740"/>
      <c r="BM340" s="740"/>
      <c r="BN340" s="740"/>
      <c r="BO340" s="740"/>
      <c r="BP340" s="740"/>
      <c r="BQ340" s="740"/>
      <c r="BR340" s="740"/>
      <c r="BS340" s="740"/>
      <c r="BT340" s="740"/>
      <c r="BU340" s="740"/>
      <c r="BV340" s="740"/>
      <c r="BW340" s="740"/>
      <c r="BX340" s="740"/>
      <c r="BY340" s="740"/>
      <c r="BZ340" s="740"/>
      <c r="CA340" s="740"/>
      <c r="CB340" s="740"/>
      <c r="CC340" s="740"/>
      <c r="CD340" s="740"/>
      <c r="CE340" s="740"/>
      <c r="CF340" s="740"/>
      <c r="CG340" s="740"/>
      <c r="CH340" s="740"/>
      <c r="CI340" s="740"/>
      <c r="CJ340" s="740"/>
      <c r="CK340" s="740"/>
      <c r="CL340" s="740"/>
      <c r="CM340" s="740"/>
      <c r="CN340" s="740"/>
      <c r="CO340" s="740"/>
      <c r="CP340" s="740"/>
      <c r="CQ340" s="740"/>
      <c r="CR340" s="740"/>
      <c r="CS340" s="740"/>
      <c r="CT340" s="740"/>
      <c r="CU340" s="740"/>
      <c r="CV340" s="740"/>
      <c r="CW340" s="740"/>
      <c r="CX340" s="740"/>
      <c r="CY340" s="740"/>
      <c r="CZ340" s="740"/>
      <c r="DA340" s="740"/>
      <c r="DB340" s="740"/>
      <c r="DC340" s="740"/>
      <c r="DD340" s="740"/>
      <c r="DE340" s="740"/>
      <c r="DF340" s="740"/>
      <c r="DG340" s="740"/>
      <c r="DH340" s="740"/>
      <c r="DI340" s="740"/>
      <c r="DJ340" s="740"/>
      <c r="DK340" s="740"/>
      <c r="DL340" s="740"/>
      <c r="DM340" s="740"/>
      <c r="DN340" s="740"/>
      <c r="DO340" s="740"/>
      <c r="DP340" s="740"/>
      <c r="DQ340" s="740"/>
      <c r="DR340" s="740"/>
      <c r="DS340" s="740"/>
      <c r="DT340" s="740"/>
      <c r="DU340" s="740"/>
      <c r="DV340" s="740"/>
      <c r="DW340" s="740"/>
      <c r="DX340" s="740"/>
      <c r="DY340" s="740"/>
      <c r="DZ340" s="740"/>
      <c r="EA340" s="740"/>
      <c r="EB340" s="740"/>
      <c r="EC340" s="740"/>
      <c r="ED340" s="740"/>
      <c r="EE340" s="740"/>
      <c r="EF340" s="740"/>
      <c r="EG340" s="740"/>
      <c r="EH340" s="740"/>
      <c r="EI340" s="740"/>
      <c r="EJ340" s="740"/>
      <c r="EK340" s="740"/>
      <c r="EL340" s="740"/>
      <c r="EM340" s="740"/>
      <c r="EN340" s="740"/>
      <c r="EO340" s="740"/>
      <c r="EP340" s="740"/>
      <c r="EQ340" s="740"/>
      <c r="ER340" s="740"/>
      <c r="ES340" s="740"/>
      <c r="ET340" s="740"/>
      <c r="EU340" s="740"/>
      <c r="EV340" s="740"/>
      <c r="EW340" s="740"/>
      <c r="EX340" s="740"/>
      <c r="EY340" s="740"/>
      <c r="EZ340" s="740"/>
      <c r="FA340" s="740"/>
      <c r="FB340" s="740"/>
      <c r="FC340" s="740"/>
      <c r="FD340" s="740"/>
      <c r="FE340" s="740"/>
      <c r="FF340" s="740"/>
      <c r="FG340" s="740"/>
      <c r="FH340" s="740"/>
      <c r="FI340" s="740"/>
      <c r="FJ340" s="740"/>
      <c r="FK340" s="740"/>
      <c r="FL340" s="740"/>
      <c r="FM340" s="740"/>
      <c r="FN340" s="740"/>
      <c r="FO340" s="740"/>
      <c r="FP340" s="740"/>
      <c r="FQ340" s="740"/>
      <c r="FR340" s="740"/>
      <c r="FS340" s="740"/>
      <c r="FT340" s="740"/>
      <c r="FU340" s="740"/>
      <c r="FV340" s="740"/>
      <c r="FW340" s="740"/>
      <c r="FX340" s="740"/>
      <c r="FY340" s="740"/>
      <c r="FZ340" s="740"/>
      <c r="GA340" s="740"/>
      <c r="GB340" s="740"/>
      <c r="GC340" s="740"/>
      <c r="GD340" s="740"/>
      <c r="GE340" s="740"/>
      <c r="GF340" s="740"/>
      <c r="GG340" s="740"/>
      <c r="GH340" s="740"/>
      <c r="GI340" s="740"/>
      <c r="GJ340" s="740"/>
      <c r="GK340" s="740"/>
      <c r="GL340" s="740"/>
      <c r="GM340" s="740"/>
      <c r="GN340" s="740"/>
      <c r="GO340" s="740"/>
      <c r="GP340" s="740"/>
      <c r="GQ340" s="740"/>
      <c r="GR340" s="740"/>
      <c r="GS340" s="740"/>
      <c r="GT340" s="740"/>
      <c r="GU340" s="740"/>
      <c r="GV340" s="740"/>
      <c r="GW340" s="740"/>
    </row>
    <row r="341" spans="18:205" ht="24" customHeight="1" x14ac:dyDescent="0.2">
      <c r="R341" s="740"/>
      <c r="S341" s="740"/>
      <c r="T341" s="740"/>
      <c r="U341" s="740"/>
      <c r="V341" s="740"/>
      <c r="W341" s="740"/>
      <c r="X341" s="740"/>
      <c r="Y341" s="740"/>
      <c r="Z341" s="740"/>
      <c r="AA341" s="740"/>
      <c r="AB341" s="740"/>
      <c r="AC341" s="740"/>
      <c r="AD341" s="740"/>
      <c r="AE341" s="740"/>
      <c r="AF341" s="740"/>
      <c r="AG341" s="740"/>
      <c r="AH341" s="740"/>
      <c r="AI341" s="740"/>
      <c r="AJ341" s="740"/>
      <c r="AK341" s="740"/>
      <c r="AL341" s="740"/>
      <c r="AM341" s="740"/>
      <c r="AN341" s="740"/>
      <c r="AO341" s="740"/>
      <c r="AP341" s="740"/>
      <c r="AQ341" s="740"/>
      <c r="AR341" s="740"/>
      <c r="AS341" s="740"/>
      <c r="AT341" s="740"/>
      <c r="AU341" s="740"/>
      <c r="AV341" s="740"/>
      <c r="AW341" s="740"/>
      <c r="AX341" s="740"/>
      <c r="AY341" s="740"/>
      <c r="AZ341" s="740"/>
      <c r="BA341" s="740"/>
      <c r="BB341" s="740"/>
      <c r="BC341" s="740"/>
      <c r="BD341" s="740"/>
      <c r="BE341" s="740"/>
      <c r="BF341" s="740"/>
      <c r="BG341" s="740"/>
      <c r="BH341" s="740"/>
      <c r="BI341" s="740"/>
      <c r="BJ341" s="740"/>
      <c r="BK341" s="740"/>
      <c r="BL341" s="740"/>
      <c r="BM341" s="740"/>
      <c r="BN341" s="740"/>
      <c r="BO341" s="740"/>
      <c r="BP341" s="740"/>
      <c r="BQ341" s="740"/>
      <c r="BR341" s="740"/>
      <c r="BS341" s="740"/>
      <c r="BT341" s="740"/>
      <c r="BU341" s="740"/>
      <c r="BV341" s="740"/>
      <c r="BW341" s="740"/>
      <c r="BX341" s="740"/>
      <c r="BY341" s="740"/>
      <c r="BZ341" s="740"/>
      <c r="CA341" s="740"/>
      <c r="CB341" s="740"/>
      <c r="CC341" s="740"/>
      <c r="CD341" s="740"/>
      <c r="CE341" s="740"/>
      <c r="CF341" s="740"/>
      <c r="CG341" s="740"/>
      <c r="CH341" s="740"/>
      <c r="CI341" s="740"/>
      <c r="CJ341" s="740"/>
      <c r="CK341" s="740"/>
      <c r="CL341" s="740"/>
      <c r="CM341" s="740"/>
      <c r="CN341" s="740"/>
      <c r="CO341" s="740"/>
      <c r="CP341" s="740"/>
      <c r="CQ341" s="740"/>
      <c r="CR341" s="740"/>
      <c r="CS341" s="740"/>
      <c r="CT341" s="740"/>
      <c r="CU341" s="740"/>
      <c r="CV341" s="740"/>
      <c r="CW341" s="740"/>
      <c r="CX341" s="740"/>
      <c r="CY341" s="740"/>
      <c r="CZ341" s="740"/>
      <c r="DA341" s="740"/>
      <c r="DB341" s="740"/>
      <c r="DC341" s="740"/>
      <c r="DD341" s="740"/>
      <c r="DE341" s="740"/>
      <c r="DF341" s="740"/>
      <c r="DG341" s="740"/>
      <c r="DH341" s="740"/>
      <c r="DI341" s="740"/>
      <c r="DJ341" s="740"/>
      <c r="DK341" s="740"/>
      <c r="DL341" s="740"/>
      <c r="DM341" s="740"/>
      <c r="DN341" s="740"/>
      <c r="DO341" s="740"/>
      <c r="DP341" s="740"/>
      <c r="DQ341" s="740"/>
      <c r="DR341" s="740"/>
      <c r="DS341" s="740"/>
      <c r="DT341" s="740"/>
      <c r="DU341" s="740"/>
      <c r="DV341" s="740"/>
      <c r="DW341" s="740"/>
      <c r="DX341" s="740"/>
      <c r="DY341" s="740"/>
      <c r="DZ341" s="740"/>
      <c r="EA341" s="740"/>
      <c r="EB341" s="740"/>
      <c r="EC341" s="740"/>
      <c r="ED341" s="740"/>
      <c r="EE341" s="740"/>
      <c r="EF341" s="740"/>
      <c r="EG341" s="740"/>
      <c r="EH341" s="740"/>
      <c r="EI341" s="740"/>
      <c r="EJ341" s="740"/>
      <c r="EK341" s="740"/>
      <c r="EL341" s="740"/>
      <c r="EM341" s="740"/>
      <c r="EN341" s="740"/>
      <c r="EO341" s="740"/>
      <c r="EP341" s="740"/>
      <c r="EQ341" s="740"/>
      <c r="ER341" s="740"/>
      <c r="ES341" s="740"/>
      <c r="ET341" s="740"/>
      <c r="EU341" s="740"/>
      <c r="EV341" s="740"/>
      <c r="EW341" s="740"/>
      <c r="EX341" s="740"/>
      <c r="EY341" s="740"/>
      <c r="EZ341" s="740"/>
      <c r="FA341" s="740"/>
      <c r="FB341" s="740"/>
      <c r="FC341" s="740"/>
      <c r="FD341" s="740"/>
      <c r="FE341" s="740"/>
      <c r="FF341" s="740"/>
      <c r="FG341" s="740"/>
      <c r="FH341" s="740"/>
      <c r="FI341" s="740"/>
      <c r="FJ341" s="740"/>
      <c r="FK341" s="740"/>
      <c r="FL341" s="740"/>
      <c r="FM341" s="740"/>
      <c r="FN341" s="740"/>
      <c r="FO341" s="740"/>
      <c r="FP341" s="740"/>
      <c r="FQ341" s="740"/>
      <c r="FR341" s="740"/>
      <c r="FS341" s="740"/>
      <c r="FT341" s="740"/>
      <c r="FU341" s="740"/>
      <c r="FV341" s="740"/>
      <c r="FW341" s="740"/>
      <c r="FX341" s="740"/>
      <c r="FY341" s="740"/>
      <c r="FZ341" s="740"/>
      <c r="GA341" s="740"/>
      <c r="GB341" s="740"/>
      <c r="GC341" s="740"/>
      <c r="GD341" s="740"/>
      <c r="GE341" s="740"/>
      <c r="GF341" s="740"/>
      <c r="GG341" s="740"/>
      <c r="GH341" s="740"/>
      <c r="GI341" s="740"/>
      <c r="GJ341" s="740"/>
      <c r="GK341" s="740"/>
      <c r="GL341" s="740"/>
      <c r="GM341" s="740"/>
      <c r="GN341" s="740"/>
      <c r="GO341" s="740"/>
      <c r="GP341" s="740"/>
      <c r="GQ341" s="740"/>
      <c r="GR341" s="740"/>
      <c r="GS341" s="740"/>
      <c r="GT341" s="740"/>
      <c r="GU341" s="740"/>
      <c r="GV341" s="740"/>
      <c r="GW341" s="740"/>
    </row>
    <row r="342" spans="18:205" ht="24" customHeight="1" x14ac:dyDescent="0.2">
      <c r="R342" s="740"/>
      <c r="S342" s="740"/>
      <c r="T342" s="740"/>
      <c r="U342" s="740"/>
      <c r="V342" s="740"/>
      <c r="W342" s="740"/>
      <c r="X342" s="740"/>
      <c r="Y342" s="740"/>
      <c r="Z342" s="740"/>
      <c r="AA342" s="740"/>
      <c r="AB342" s="740"/>
      <c r="AC342" s="740"/>
      <c r="AD342" s="740"/>
      <c r="AE342" s="740"/>
      <c r="AF342" s="740"/>
      <c r="AG342" s="740"/>
      <c r="AH342" s="740"/>
      <c r="AI342" s="740"/>
      <c r="AJ342" s="740"/>
      <c r="AK342" s="740"/>
      <c r="AL342" s="740"/>
      <c r="AM342" s="740"/>
      <c r="AN342" s="740"/>
      <c r="AO342" s="740"/>
      <c r="AP342" s="740"/>
      <c r="AQ342" s="740"/>
      <c r="AR342" s="740"/>
      <c r="AS342" s="740"/>
      <c r="AT342" s="740"/>
      <c r="AU342" s="740"/>
      <c r="AV342" s="740"/>
      <c r="AW342" s="740"/>
      <c r="AX342" s="740"/>
      <c r="AY342" s="740"/>
      <c r="AZ342" s="740"/>
      <c r="BA342" s="740"/>
      <c r="BB342" s="740"/>
      <c r="BC342" s="740"/>
      <c r="BD342" s="740"/>
      <c r="BE342" s="740"/>
      <c r="BF342" s="740"/>
      <c r="BG342" s="740"/>
      <c r="BH342" s="740"/>
      <c r="BI342" s="740"/>
      <c r="BJ342" s="740"/>
      <c r="BK342" s="740"/>
      <c r="BL342" s="740"/>
      <c r="BM342" s="740"/>
      <c r="BN342" s="740"/>
      <c r="BO342" s="740"/>
      <c r="BP342" s="740"/>
      <c r="BQ342" s="740"/>
      <c r="BR342" s="740"/>
      <c r="BS342" s="740"/>
      <c r="BT342" s="740"/>
      <c r="BU342" s="740"/>
      <c r="BV342" s="740"/>
      <c r="BW342" s="740"/>
      <c r="BX342" s="740"/>
      <c r="BY342" s="740"/>
      <c r="BZ342" s="740"/>
      <c r="CA342" s="740"/>
      <c r="CB342" s="740"/>
      <c r="CC342" s="740"/>
      <c r="CD342" s="740"/>
      <c r="CE342" s="740"/>
      <c r="CF342" s="740"/>
      <c r="CG342" s="740"/>
      <c r="CH342" s="740"/>
      <c r="CI342" s="740"/>
      <c r="CJ342" s="740"/>
      <c r="CK342" s="740"/>
      <c r="CL342" s="740"/>
      <c r="CM342" s="740"/>
      <c r="CN342" s="740"/>
      <c r="CO342" s="740"/>
      <c r="CP342" s="740"/>
      <c r="CQ342" s="740"/>
      <c r="CR342" s="740"/>
      <c r="CS342" s="740"/>
      <c r="CT342" s="740"/>
      <c r="CU342" s="740"/>
      <c r="CV342" s="740"/>
      <c r="CW342" s="740"/>
      <c r="CX342" s="740"/>
      <c r="CY342" s="740"/>
      <c r="CZ342" s="740"/>
      <c r="DA342" s="740"/>
      <c r="DB342" s="740"/>
      <c r="DC342" s="740"/>
      <c r="DD342" s="740"/>
      <c r="DE342" s="740"/>
      <c r="DF342" s="740"/>
      <c r="DG342" s="740"/>
      <c r="DH342" s="740"/>
      <c r="DI342" s="740"/>
      <c r="DJ342" s="740"/>
      <c r="DK342" s="740"/>
      <c r="DL342" s="740"/>
      <c r="DM342" s="740"/>
      <c r="DN342" s="740"/>
      <c r="DO342" s="740"/>
      <c r="DP342" s="740"/>
      <c r="DQ342" s="740"/>
      <c r="DR342" s="740"/>
      <c r="DS342" s="740"/>
      <c r="DT342" s="740"/>
      <c r="DU342" s="740"/>
      <c r="DV342" s="740"/>
      <c r="DW342" s="740"/>
      <c r="DX342" s="740"/>
      <c r="DY342" s="740"/>
      <c r="DZ342" s="740"/>
      <c r="EA342" s="740"/>
      <c r="EB342" s="740"/>
      <c r="EC342" s="740"/>
      <c r="ED342" s="740"/>
      <c r="EE342" s="740"/>
      <c r="EF342" s="740"/>
      <c r="EG342" s="740"/>
      <c r="EH342" s="740"/>
      <c r="EI342" s="740"/>
      <c r="EJ342" s="740"/>
      <c r="EK342" s="740"/>
      <c r="EL342" s="740"/>
      <c r="EM342" s="740"/>
      <c r="EN342" s="740"/>
      <c r="EO342" s="740"/>
      <c r="EP342" s="740"/>
      <c r="EQ342" s="740"/>
      <c r="ER342" s="740"/>
      <c r="ES342" s="740"/>
      <c r="ET342" s="740"/>
      <c r="EU342" s="740"/>
      <c r="EV342" s="740"/>
      <c r="EW342" s="740"/>
      <c r="EX342" s="740"/>
      <c r="EY342" s="740"/>
      <c r="EZ342" s="740"/>
      <c r="FA342" s="740"/>
      <c r="FB342" s="740"/>
      <c r="FC342" s="740"/>
      <c r="FD342" s="740"/>
      <c r="FE342" s="740"/>
      <c r="FF342" s="740"/>
      <c r="FG342" s="740"/>
      <c r="FH342" s="740"/>
      <c r="FI342" s="740"/>
      <c r="FJ342" s="740"/>
      <c r="FK342" s="740"/>
      <c r="FL342" s="740"/>
      <c r="FM342" s="740"/>
      <c r="FN342" s="740"/>
      <c r="FO342" s="740"/>
      <c r="FP342" s="740"/>
      <c r="FQ342" s="740"/>
      <c r="FR342" s="740"/>
      <c r="FS342" s="740"/>
      <c r="FT342" s="740"/>
      <c r="FU342" s="740"/>
      <c r="FV342" s="740"/>
      <c r="FW342" s="740"/>
      <c r="FX342" s="740"/>
      <c r="FY342" s="740"/>
      <c r="FZ342" s="740"/>
      <c r="GA342" s="740"/>
      <c r="GB342" s="740"/>
      <c r="GC342" s="740"/>
      <c r="GD342" s="740"/>
      <c r="GE342" s="740"/>
      <c r="GF342" s="740"/>
      <c r="GG342" s="740"/>
      <c r="GH342" s="740"/>
      <c r="GI342" s="740"/>
      <c r="GJ342" s="740"/>
      <c r="GK342" s="740"/>
      <c r="GL342" s="740"/>
      <c r="GM342" s="740"/>
      <c r="GN342" s="740"/>
      <c r="GO342" s="740"/>
      <c r="GP342" s="740"/>
      <c r="GQ342" s="740"/>
      <c r="GR342" s="740"/>
      <c r="GS342" s="740"/>
      <c r="GT342" s="740"/>
      <c r="GU342" s="740"/>
      <c r="GV342" s="740"/>
      <c r="GW342" s="740"/>
    </row>
    <row r="343" spans="18:205" ht="24" customHeight="1" x14ac:dyDescent="0.2">
      <c r="R343" s="740"/>
      <c r="S343" s="740"/>
      <c r="T343" s="740"/>
      <c r="U343" s="740"/>
      <c r="V343" s="740"/>
      <c r="W343" s="740"/>
      <c r="X343" s="740"/>
      <c r="Y343" s="740"/>
      <c r="Z343" s="740"/>
      <c r="AA343" s="740"/>
      <c r="AB343" s="740"/>
      <c r="AC343" s="740"/>
      <c r="AD343" s="740"/>
      <c r="AE343" s="740"/>
      <c r="AF343" s="740"/>
      <c r="AG343" s="740"/>
      <c r="AH343" s="740"/>
      <c r="AI343" s="740"/>
      <c r="AJ343" s="740"/>
      <c r="AK343" s="740"/>
      <c r="AL343" s="740"/>
      <c r="AM343" s="740"/>
      <c r="AN343" s="740"/>
      <c r="AO343" s="740"/>
      <c r="AP343" s="740"/>
      <c r="AQ343" s="740"/>
      <c r="AR343" s="740"/>
      <c r="AS343" s="740"/>
      <c r="AT343" s="740"/>
      <c r="AU343" s="740"/>
      <c r="AV343" s="740"/>
      <c r="AW343" s="740"/>
      <c r="AX343" s="740"/>
      <c r="AY343" s="740"/>
      <c r="AZ343" s="740"/>
      <c r="BA343" s="740"/>
      <c r="BB343" s="740"/>
      <c r="BC343" s="740"/>
      <c r="BD343" s="740"/>
      <c r="BE343" s="740"/>
      <c r="BF343" s="740"/>
      <c r="BG343" s="740"/>
      <c r="BH343" s="740"/>
      <c r="BI343" s="740"/>
      <c r="BJ343" s="740"/>
      <c r="BK343" s="740"/>
      <c r="BL343" s="740"/>
      <c r="BM343" s="740"/>
      <c r="BN343" s="740"/>
      <c r="BO343" s="740"/>
      <c r="BP343" s="740"/>
      <c r="BQ343" s="740"/>
      <c r="BR343" s="740"/>
      <c r="BS343" s="740"/>
      <c r="BT343" s="740"/>
      <c r="BU343" s="740"/>
      <c r="BV343" s="740"/>
      <c r="BW343" s="740"/>
      <c r="BX343" s="740"/>
      <c r="BY343" s="740"/>
      <c r="BZ343" s="740"/>
      <c r="CA343" s="740"/>
      <c r="CB343" s="740"/>
      <c r="CC343" s="740"/>
      <c r="CD343" s="740"/>
      <c r="CE343" s="740"/>
      <c r="CF343" s="740"/>
      <c r="CG343" s="740"/>
      <c r="CH343" s="740"/>
      <c r="CI343" s="740"/>
      <c r="CJ343" s="740"/>
      <c r="CK343" s="740"/>
      <c r="CL343" s="740"/>
      <c r="CM343" s="740"/>
      <c r="CN343" s="740"/>
      <c r="CO343" s="740"/>
      <c r="CP343" s="740"/>
      <c r="CQ343" s="740"/>
      <c r="CR343" s="740"/>
      <c r="CS343" s="740"/>
      <c r="CT343" s="740"/>
      <c r="CU343" s="740"/>
      <c r="CV343" s="740"/>
      <c r="CW343" s="740"/>
      <c r="CX343" s="740"/>
      <c r="CY343" s="740"/>
      <c r="CZ343" s="740"/>
      <c r="DA343" s="740"/>
      <c r="DB343" s="740"/>
      <c r="DC343" s="740"/>
      <c r="DD343" s="740"/>
      <c r="DE343" s="740"/>
      <c r="DF343" s="740"/>
      <c r="DG343" s="740"/>
      <c r="DH343" s="740"/>
      <c r="DI343" s="740"/>
      <c r="DJ343" s="740"/>
      <c r="DK343" s="740"/>
      <c r="DL343" s="740"/>
      <c r="DM343" s="740"/>
      <c r="DN343" s="740"/>
      <c r="DO343" s="740"/>
      <c r="DP343" s="740"/>
      <c r="DQ343" s="740"/>
      <c r="DR343" s="740"/>
      <c r="DS343" s="740"/>
      <c r="DT343" s="740"/>
      <c r="DU343" s="740"/>
      <c r="DV343" s="740"/>
      <c r="DW343" s="740"/>
      <c r="DX343" s="740"/>
      <c r="DY343" s="740"/>
      <c r="DZ343" s="740"/>
      <c r="EA343" s="740"/>
      <c r="EB343" s="740"/>
      <c r="EC343" s="740"/>
      <c r="ED343" s="740"/>
      <c r="EE343" s="740"/>
      <c r="EF343" s="740"/>
      <c r="EG343" s="740"/>
      <c r="EH343" s="740"/>
      <c r="EI343" s="740"/>
      <c r="EJ343" s="740"/>
      <c r="EK343" s="740"/>
      <c r="EL343" s="740"/>
      <c r="EM343" s="740"/>
      <c r="EN343" s="740"/>
      <c r="EO343" s="740"/>
      <c r="EP343" s="740"/>
      <c r="EQ343" s="740"/>
      <c r="ER343" s="740"/>
      <c r="ES343" s="740"/>
      <c r="ET343" s="740"/>
      <c r="EU343" s="740"/>
      <c r="EV343" s="740"/>
      <c r="EW343" s="740"/>
      <c r="EX343" s="740"/>
      <c r="EY343" s="740"/>
      <c r="EZ343" s="740"/>
      <c r="FA343" s="740"/>
      <c r="FB343" s="740"/>
      <c r="FC343" s="740"/>
      <c r="FD343" s="740"/>
      <c r="FE343" s="740"/>
      <c r="FF343" s="740"/>
      <c r="FG343" s="740"/>
      <c r="FH343" s="740"/>
      <c r="FI343" s="740"/>
      <c r="FJ343" s="740"/>
      <c r="FK343" s="740"/>
      <c r="FL343" s="740"/>
      <c r="FM343" s="740"/>
      <c r="FN343" s="740"/>
      <c r="FO343" s="740"/>
      <c r="FP343" s="740"/>
      <c r="FQ343" s="740"/>
      <c r="FR343" s="740"/>
      <c r="FS343" s="740"/>
      <c r="FT343" s="740"/>
      <c r="FU343" s="740"/>
      <c r="FV343" s="740"/>
      <c r="FW343" s="740"/>
      <c r="FX343" s="740"/>
      <c r="FY343" s="740"/>
      <c r="FZ343" s="740"/>
      <c r="GA343" s="740"/>
      <c r="GB343" s="740"/>
      <c r="GC343" s="740"/>
      <c r="GD343" s="740"/>
      <c r="GE343" s="740"/>
      <c r="GF343" s="740"/>
      <c r="GG343" s="740"/>
      <c r="GH343" s="740"/>
      <c r="GI343" s="740"/>
      <c r="GJ343" s="740"/>
      <c r="GK343" s="740"/>
      <c r="GL343" s="740"/>
      <c r="GM343" s="740"/>
      <c r="GN343" s="740"/>
      <c r="GO343" s="740"/>
      <c r="GP343" s="740"/>
      <c r="GQ343" s="740"/>
      <c r="GR343" s="740"/>
      <c r="GS343" s="740"/>
      <c r="GT343" s="740"/>
      <c r="GU343" s="740"/>
      <c r="GV343" s="740"/>
      <c r="GW343" s="740"/>
    </row>
    <row r="344" spans="18:205" ht="24" customHeight="1" x14ac:dyDescent="0.2">
      <c r="R344" s="740"/>
      <c r="S344" s="740"/>
      <c r="T344" s="740"/>
      <c r="U344" s="740"/>
      <c r="V344" s="740"/>
      <c r="W344" s="740"/>
      <c r="X344" s="740"/>
      <c r="Y344" s="740"/>
      <c r="Z344" s="740"/>
      <c r="AA344" s="740"/>
      <c r="AB344" s="740"/>
      <c r="AC344" s="740"/>
      <c r="AD344" s="740"/>
      <c r="AE344" s="740"/>
      <c r="AF344" s="740"/>
      <c r="AG344" s="740"/>
      <c r="AH344" s="740"/>
      <c r="AI344" s="740"/>
      <c r="AJ344" s="740"/>
      <c r="AK344" s="740"/>
      <c r="AL344" s="740"/>
      <c r="AM344" s="740"/>
      <c r="AN344" s="740"/>
      <c r="AO344" s="740"/>
      <c r="AP344" s="740"/>
      <c r="AQ344" s="740"/>
      <c r="AR344" s="740"/>
      <c r="AS344" s="740"/>
      <c r="AT344" s="740"/>
      <c r="AU344" s="740"/>
      <c r="AV344" s="740"/>
      <c r="AW344" s="740"/>
      <c r="AX344" s="740"/>
      <c r="AY344" s="740"/>
      <c r="AZ344" s="740"/>
      <c r="BA344" s="740"/>
      <c r="BB344" s="740"/>
      <c r="BC344" s="740"/>
      <c r="BD344" s="740"/>
      <c r="BE344" s="740"/>
      <c r="BF344" s="740"/>
      <c r="BG344" s="740"/>
      <c r="BH344" s="740"/>
      <c r="BI344" s="740"/>
      <c r="BJ344" s="740"/>
      <c r="BK344" s="740"/>
      <c r="BL344" s="740"/>
      <c r="BM344" s="740"/>
      <c r="BN344" s="740"/>
      <c r="BO344" s="740"/>
      <c r="BP344" s="740"/>
      <c r="BQ344" s="740"/>
      <c r="BR344" s="740"/>
      <c r="BS344" s="740"/>
      <c r="BT344" s="740"/>
      <c r="BU344" s="740"/>
      <c r="BV344" s="740"/>
      <c r="BW344" s="740"/>
      <c r="BX344" s="740"/>
      <c r="BY344" s="740"/>
      <c r="BZ344" s="740"/>
      <c r="CA344" s="740"/>
      <c r="CB344" s="740"/>
      <c r="CC344" s="740"/>
      <c r="CD344" s="740"/>
      <c r="CE344" s="740"/>
      <c r="CF344" s="740"/>
      <c r="CG344" s="740"/>
      <c r="CH344" s="740"/>
      <c r="CI344" s="740"/>
      <c r="CJ344" s="740"/>
      <c r="CK344" s="740"/>
      <c r="CL344" s="740"/>
      <c r="CM344" s="740"/>
      <c r="CN344" s="740"/>
      <c r="CO344" s="740"/>
      <c r="CP344" s="740"/>
      <c r="CQ344" s="740"/>
      <c r="CR344" s="740"/>
      <c r="CS344" s="740"/>
      <c r="CT344" s="740"/>
      <c r="CU344" s="740"/>
      <c r="CV344" s="740"/>
      <c r="CW344" s="740"/>
      <c r="CX344" s="740"/>
      <c r="CY344" s="740"/>
      <c r="CZ344" s="740"/>
      <c r="DA344" s="740"/>
      <c r="DB344" s="740"/>
      <c r="DC344" s="740"/>
      <c r="DD344" s="740"/>
      <c r="DE344" s="740"/>
      <c r="DF344" s="740"/>
      <c r="DG344" s="740"/>
      <c r="DH344" s="740"/>
      <c r="DI344" s="740"/>
      <c r="DJ344" s="740"/>
      <c r="DK344" s="740"/>
      <c r="DL344" s="740"/>
      <c r="DM344" s="740"/>
      <c r="DN344" s="740"/>
      <c r="DO344" s="740"/>
      <c r="DP344" s="740"/>
      <c r="DQ344" s="740"/>
      <c r="DR344" s="740"/>
      <c r="DS344" s="740"/>
      <c r="DT344" s="740"/>
      <c r="DU344" s="740"/>
      <c r="DV344" s="740"/>
      <c r="DW344" s="740"/>
      <c r="DX344" s="740"/>
      <c r="DY344" s="740"/>
      <c r="DZ344" s="740"/>
      <c r="EA344" s="740"/>
      <c r="EB344" s="740"/>
      <c r="EC344" s="740"/>
      <c r="ED344" s="740"/>
      <c r="EE344" s="740"/>
      <c r="EF344" s="740"/>
      <c r="EG344" s="740"/>
      <c r="EH344" s="740"/>
      <c r="EI344" s="740"/>
      <c r="EJ344" s="740"/>
      <c r="EK344" s="740"/>
      <c r="EL344" s="740"/>
      <c r="EM344" s="740"/>
      <c r="EN344" s="740"/>
      <c r="EO344" s="740"/>
      <c r="EP344" s="740"/>
      <c r="EQ344" s="740"/>
      <c r="ER344" s="740"/>
      <c r="ES344" s="740"/>
      <c r="ET344" s="740"/>
      <c r="EU344" s="740"/>
      <c r="EV344" s="740"/>
      <c r="EW344" s="740"/>
      <c r="EX344" s="740"/>
      <c r="EY344" s="740"/>
      <c r="EZ344" s="740"/>
      <c r="FA344" s="740"/>
      <c r="FB344" s="740"/>
      <c r="FC344" s="740"/>
      <c r="FD344" s="740"/>
      <c r="FE344" s="740"/>
      <c r="FF344" s="740"/>
      <c r="FG344" s="740"/>
      <c r="FH344" s="740"/>
      <c r="FI344" s="740"/>
      <c r="FJ344" s="740"/>
      <c r="FK344" s="740"/>
      <c r="FL344" s="740"/>
      <c r="FM344" s="740"/>
      <c r="FN344" s="740"/>
      <c r="FO344" s="740"/>
      <c r="FP344" s="740"/>
      <c r="FQ344" s="740"/>
      <c r="FR344" s="740"/>
      <c r="FS344" s="740"/>
      <c r="FT344" s="740"/>
      <c r="FU344" s="740"/>
      <c r="FV344" s="740"/>
      <c r="FW344" s="740"/>
      <c r="FX344" s="740"/>
      <c r="FY344" s="740"/>
      <c r="FZ344" s="740"/>
      <c r="GA344" s="740"/>
      <c r="GB344" s="740"/>
      <c r="GC344" s="740"/>
      <c r="GD344" s="740"/>
      <c r="GE344" s="740"/>
      <c r="GF344" s="740"/>
      <c r="GG344" s="740"/>
      <c r="GH344" s="740"/>
      <c r="GI344" s="740"/>
      <c r="GJ344" s="740"/>
      <c r="GK344" s="740"/>
      <c r="GL344" s="740"/>
      <c r="GM344" s="740"/>
      <c r="GN344" s="740"/>
      <c r="GO344" s="740"/>
      <c r="GP344" s="740"/>
      <c r="GQ344" s="740"/>
      <c r="GR344" s="740"/>
      <c r="GS344" s="740"/>
      <c r="GT344" s="740"/>
      <c r="GU344" s="740"/>
      <c r="GV344" s="740"/>
      <c r="GW344" s="740"/>
    </row>
    <row r="345" spans="18:205" ht="24" customHeight="1" x14ac:dyDescent="0.2">
      <c r="R345" s="740"/>
      <c r="S345" s="740"/>
      <c r="T345" s="740"/>
      <c r="U345" s="740"/>
      <c r="V345" s="740"/>
      <c r="W345" s="740"/>
      <c r="X345" s="740"/>
      <c r="Y345" s="740"/>
      <c r="Z345" s="740"/>
      <c r="AA345" s="740"/>
      <c r="AB345" s="740"/>
      <c r="AC345" s="740"/>
      <c r="AD345" s="740"/>
      <c r="AE345" s="740"/>
      <c r="AF345" s="740"/>
      <c r="AG345" s="740"/>
      <c r="AH345" s="740"/>
      <c r="AI345" s="740"/>
      <c r="AJ345" s="740"/>
      <c r="AK345" s="740"/>
      <c r="AL345" s="740"/>
      <c r="AM345" s="740"/>
      <c r="AN345" s="740"/>
      <c r="AO345" s="740"/>
      <c r="AP345" s="740"/>
      <c r="AQ345" s="740"/>
      <c r="AR345" s="740"/>
      <c r="AS345" s="740"/>
      <c r="AT345" s="740"/>
      <c r="AU345" s="740"/>
      <c r="AV345" s="740"/>
      <c r="AW345" s="740"/>
      <c r="AX345" s="740"/>
      <c r="AY345" s="740"/>
      <c r="AZ345" s="740"/>
      <c r="BA345" s="740"/>
      <c r="BB345" s="740"/>
      <c r="BC345" s="740"/>
      <c r="BD345" s="740"/>
      <c r="BE345" s="740"/>
      <c r="BF345" s="740"/>
      <c r="BG345" s="740"/>
      <c r="BH345" s="740"/>
      <c r="BI345" s="740"/>
      <c r="BJ345" s="740"/>
      <c r="BK345" s="740"/>
      <c r="BL345" s="740"/>
      <c r="BM345" s="740"/>
      <c r="BN345" s="740"/>
      <c r="BO345" s="740"/>
      <c r="BP345" s="740"/>
      <c r="BQ345" s="740"/>
      <c r="BR345" s="740"/>
      <c r="BS345" s="740"/>
      <c r="BT345" s="740"/>
      <c r="BU345" s="740"/>
      <c r="BV345" s="740"/>
      <c r="BW345" s="740"/>
      <c r="BX345" s="740"/>
      <c r="BY345" s="740"/>
      <c r="BZ345" s="740"/>
      <c r="CA345" s="740"/>
      <c r="CB345" s="740"/>
      <c r="CC345" s="740"/>
      <c r="CD345" s="740"/>
      <c r="CE345" s="740"/>
      <c r="CF345" s="740"/>
      <c r="CG345" s="740"/>
      <c r="CH345" s="740"/>
      <c r="CI345" s="740"/>
      <c r="CJ345" s="740"/>
      <c r="CK345" s="740"/>
      <c r="CL345" s="740"/>
      <c r="CM345" s="740"/>
      <c r="CN345" s="740"/>
      <c r="CO345" s="740"/>
      <c r="CP345" s="740"/>
      <c r="CQ345" s="740"/>
      <c r="CR345" s="740"/>
      <c r="CS345" s="740"/>
      <c r="CT345" s="740"/>
      <c r="CU345" s="740"/>
      <c r="CV345" s="740"/>
      <c r="CW345" s="740"/>
      <c r="CX345" s="740"/>
      <c r="CY345" s="740"/>
      <c r="CZ345" s="740"/>
      <c r="DA345" s="740"/>
      <c r="DB345" s="740"/>
      <c r="DC345" s="740"/>
      <c r="DD345" s="740"/>
      <c r="DE345" s="740"/>
      <c r="DF345" s="740"/>
      <c r="DG345" s="740"/>
      <c r="DH345" s="740"/>
      <c r="DI345" s="740"/>
      <c r="DJ345" s="740"/>
      <c r="DK345" s="740"/>
      <c r="DL345" s="740"/>
      <c r="DM345" s="740"/>
      <c r="DN345" s="740"/>
      <c r="DO345" s="740"/>
      <c r="DP345" s="740"/>
      <c r="DQ345" s="740"/>
      <c r="DR345" s="740"/>
      <c r="DS345" s="740"/>
      <c r="DT345" s="740"/>
      <c r="DU345" s="740"/>
      <c r="DV345" s="740"/>
      <c r="DW345" s="740"/>
      <c r="DX345" s="740"/>
      <c r="DY345" s="740"/>
      <c r="DZ345" s="740"/>
      <c r="EA345" s="740"/>
      <c r="EB345" s="740"/>
      <c r="EC345" s="740"/>
      <c r="ED345" s="740"/>
      <c r="EE345" s="740"/>
      <c r="EF345" s="740"/>
      <c r="EG345" s="740"/>
      <c r="EH345" s="740"/>
      <c r="EI345" s="740"/>
      <c r="EJ345" s="740"/>
      <c r="EK345" s="740"/>
      <c r="EL345" s="740"/>
      <c r="EM345" s="740"/>
      <c r="EN345" s="740"/>
      <c r="EO345" s="740"/>
      <c r="EP345" s="740"/>
      <c r="EQ345" s="740"/>
      <c r="ER345" s="740"/>
      <c r="ES345" s="740"/>
      <c r="ET345" s="740"/>
      <c r="EU345" s="740"/>
      <c r="EV345" s="740"/>
      <c r="EW345" s="740"/>
      <c r="EX345" s="740"/>
      <c r="EY345" s="740"/>
      <c r="EZ345" s="740"/>
      <c r="FA345" s="740"/>
      <c r="FB345" s="740"/>
      <c r="FC345" s="740"/>
      <c r="FD345" s="740"/>
      <c r="FE345" s="740"/>
      <c r="FF345" s="740"/>
      <c r="FG345" s="740"/>
      <c r="FH345" s="740"/>
      <c r="FI345" s="740"/>
      <c r="FJ345" s="740"/>
      <c r="FK345" s="740"/>
      <c r="FL345" s="740"/>
      <c r="FM345" s="740"/>
      <c r="FN345" s="740"/>
      <c r="FO345" s="740"/>
      <c r="FP345" s="740"/>
      <c r="FQ345" s="740"/>
      <c r="FR345" s="740"/>
      <c r="FS345" s="740"/>
      <c r="FT345" s="740"/>
      <c r="FU345" s="740"/>
      <c r="FV345" s="740"/>
      <c r="FW345" s="740"/>
      <c r="FX345" s="740"/>
      <c r="FY345" s="740"/>
      <c r="FZ345" s="740"/>
      <c r="GA345" s="740"/>
      <c r="GB345" s="740"/>
      <c r="GC345" s="740"/>
      <c r="GD345" s="740"/>
      <c r="GE345" s="740"/>
      <c r="GF345" s="740"/>
      <c r="GG345" s="740"/>
      <c r="GH345" s="740"/>
      <c r="GI345" s="740"/>
      <c r="GJ345" s="740"/>
      <c r="GK345" s="740"/>
      <c r="GL345" s="740"/>
      <c r="GM345" s="740"/>
      <c r="GN345" s="740"/>
      <c r="GO345" s="740"/>
      <c r="GP345" s="740"/>
      <c r="GQ345" s="740"/>
      <c r="GR345" s="740"/>
      <c r="GS345" s="740"/>
      <c r="GT345" s="740"/>
      <c r="GU345" s="740"/>
      <c r="GV345" s="740"/>
      <c r="GW345" s="740"/>
    </row>
    <row r="346" spans="18:205" ht="24" customHeight="1" x14ac:dyDescent="0.2">
      <c r="R346" s="740"/>
      <c r="S346" s="740"/>
      <c r="T346" s="740"/>
      <c r="U346" s="740"/>
      <c r="V346" s="740"/>
      <c r="W346" s="740"/>
      <c r="X346" s="740"/>
      <c r="Y346" s="740"/>
      <c r="Z346" s="740"/>
      <c r="AA346" s="740"/>
      <c r="AB346" s="740"/>
      <c r="AC346" s="740"/>
      <c r="AD346" s="740"/>
      <c r="AE346" s="740"/>
      <c r="AF346" s="740"/>
      <c r="AG346" s="740"/>
      <c r="AH346" s="740"/>
      <c r="AI346" s="740"/>
      <c r="AJ346" s="740"/>
      <c r="AK346" s="740"/>
      <c r="AL346" s="740"/>
      <c r="AM346" s="740"/>
      <c r="AN346" s="740"/>
      <c r="AO346" s="740"/>
      <c r="AP346" s="740"/>
      <c r="AQ346" s="740"/>
      <c r="AR346" s="740"/>
      <c r="AS346" s="740"/>
      <c r="AT346" s="740"/>
      <c r="AU346" s="740"/>
      <c r="AV346" s="740"/>
      <c r="AW346" s="740"/>
      <c r="AX346" s="740"/>
      <c r="AY346" s="740"/>
      <c r="AZ346" s="740"/>
      <c r="BA346" s="740"/>
      <c r="BB346" s="740"/>
      <c r="BC346" s="740"/>
      <c r="BD346" s="740"/>
      <c r="BE346" s="740"/>
      <c r="BF346" s="740"/>
      <c r="BG346" s="740"/>
      <c r="BH346" s="740"/>
      <c r="BI346" s="740"/>
      <c r="BJ346" s="740"/>
      <c r="BK346" s="740"/>
      <c r="BL346" s="740"/>
      <c r="BM346" s="740"/>
      <c r="BN346" s="740"/>
      <c r="BO346" s="740"/>
      <c r="BP346" s="740"/>
      <c r="BQ346" s="740"/>
      <c r="BR346" s="740"/>
      <c r="BS346" s="740"/>
      <c r="BT346" s="740"/>
      <c r="BU346" s="740"/>
      <c r="BV346" s="740"/>
      <c r="BW346" s="740"/>
      <c r="BX346" s="740"/>
      <c r="BY346" s="740"/>
      <c r="BZ346" s="740"/>
      <c r="CA346" s="740"/>
      <c r="CB346" s="740"/>
      <c r="CC346" s="740"/>
      <c r="CD346" s="740"/>
      <c r="CE346" s="740"/>
      <c r="CF346" s="740"/>
      <c r="CG346" s="740"/>
      <c r="CH346" s="740"/>
      <c r="CI346" s="740"/>
      <c r="CJ346" s="740"/>
      <c r="CK346" s="740"/>
      <c r="CL346" s="740"/>
      <c r="CM346" s="740"/>
      <c r="CN346" s="740"/>
      <c r="CO346" s="740"/>
      <c r="CP346" s="740"/>
      <c r="CQ346" s="740"/>
      <c r="CR346" s="740"/>
      <c r="CS346" s="740"/>
      <c r="CT346" s="740"/>
      <c r="CU346" s="740"/>
      <c r="CV346" s="740"/>
      <c r="CW346" s="740"/>
      <c r="CX346" s="740"/>
      <c r="CY346" s="740"/>
      <c r="CZ346" s="740"/>
      <c r="DA346" s="740"/>
      <c r="DB346" s="740"/>
      <c r="DC346" s="740"/>
      <c r="DD346" s="740"/>
      <c r="DE346" s="740"/>
      <c r="DF346" s="740"/>
      <c r="DG346" s="740"/>
      <c r="DH346" s="740"/>
      <c r="DI346" s="740"/>
      <c r="DJ346" s="740"/>
      <c r="DK346" s="740"/>
      <c r="DL346" s="740"/>
      <c r="DM346" s="740"/>
      <c r="DN346" s="740"/>
      <c r="DO346" s="740"/>
      <c r="DP346" s="740"/>
      <c r="DQ346" s="740"/>
      <c r="DR346" s="740"/>
      <c r="DS346" s="740"/>
      <c r="DT346" s="740"/>
      <c r="DU346" s="740"/>
      <c r="DV346" s="740"/>
      <c r="DW346" s="740"/>
      <c r="DX346" s="740"/>
      <c r="DY346" s="740"/>
      <c r="DZ346" s="740"/>
      <c r="EA346" s="740"/>
      <c r="EB346" s="740"/>
      <c r="EC346" s="740"/>
      <c r="ED346" s="740"/>
      <c r="EE346" s="740"/>
      <c r="EF346" s="740"/>
      <c r="EG346" s="740"/>
      <c r="EH346" s="740"/>
      <c r="EI346" s="740"/>
      <c r="EJ346" s="740"/>
      <c r="EK346" s="740"/>
      <c r="EL346" s="740"/>
      <c r="EM346" s="740"/>
      <c r="EN346" s="740"/>
      <c r="EO346" s="740"/>
      <c r="EP346" s="740"/>
      <c r="EQ346" s="740"/>
      <c r="ER346" s="740"/>
      <c r="ES346" s="740"/>
      <c r="ET346" s="740"/>
      <c r="EU346" s="740"/>
      <c r="EV346" s="740"/>
      <c r="EW346" s="740"/>
      <c r="EX346" s="740"/>
      <c r="EY346" s="740"/>
      <c r="EZ346" s="740"/>
      <c r="FA346" s="740"/>
      <c r="FB346" s="740"/>
      <c r="FC346" s="740"/>
      <c r="FD346" s="740"/>
      <c r="FE346" s="740"/>
      <c r="FF346" s="740"/>
      <c r="FG346" s="740"/>
      <c r="FH346" s="740"/>
      <c r="FI346" s="740"/>
      <c r="FJ346" s="740"/>
      <c r="FK346" s="740"/>
      <c r="FL346" s="740"/>
      <c r="FM346" s="740"/>
      <c r="FN346" s="740"/>
      <c r="FO346" s="740"/>
      <c r="FP346" s="740"/>
      <c r="FQ346" s="740"/>
      <c r="FR346" s="740"/>
      <c r="FS346" s="740"/>
      <c r="FT346" s="740"/>
      <c r="FU346" s="740"/>
      <c r="FV346" s="740"/>
      <c r="FW346" s="740"/>
      <c r="FX346" s="740"/>
      <c r="FY346" s="740"/>
      <c r="FZ346" s="740"/>
      <c r="GA346" s="740"/>
      <c r="GB346" s="740"/>
      <c r="GC346" s="740"/>
      <c r="GD346" s="740"/>
      <c r="GE346" s="740"/>
      <c r="GF346" s="740"/>
      <c r="GG346" s="740"/>
      <c r="GH346" s="740"/>
      <c r="GI346" s="740"/>
      <c r="GJ346" s="740"/>
      <c r="GK346" s="740"/>
      <c r="GL346" s="740"/>
      <c r="GM346" s="740"/>
      <c r="GN346" s="740"/>
      <c r="GO346" s="740"/>
      <c r="GP346" s="740"/>
      <c r="GQ346" s="740"/>
      <c r="GR346" s="740"/>
      <c r="GS346" s="740"/>
      <c r="GT346" s="740"/>
      <c r="GU346" s="740"/>
      <c r="GV346" s="740"/>
      <c r="GW346" s="740"/>
    </row>
    <row r="347" spans="18:205" ht="24" customHeight="1" x14ac:dyDescent="0.2">
      <c r="R347" s="740"/>
      <c r="S347" s="740"/>
      <c r="T347" s="740"/>
      <c r="U347" s="740"/>
      <c r="V347" s="740"/>
      <c r="W347" s="740"/>
      <c r="X347" s="740"/>
      <c r="Y347" s="740"/>
      <c r="Z347" s="740"/>
      <c r="AA347" s="740"/>
      <c r="AB347" s="740"/>
      <c r="AC347" s="740"/>
      <c r="AD347" s="740"/>
      <c r="AE347" s="740"/>
      <c r="AF347" s="740"/>
      <c r="AG347" s="740"/>
      <c r="AH347" s="740"/>
      <c r="AI347" s="740"/>
      <c r="AJ347" s="740"/>
      <c r="AK347" s="740"/>
      <c r="AL347" s="740"/>
      <c r="AM347" s="740"/>
      <c r="AN347" s="740"/>
      <c r="AO347" s="740"/>
      <c r="AP347" s="740"/>
      <c r="AQ347" s="740"/>
      <c r="AR347" s="740"/>
      <c r="AS347" s="740"/>
      <c r="AT347" s="740"/>
      <c r="AU347" s="740"/>
      <c r="AV347" s="740"/>
      <c r="AW347" s="740"/>
      <c r="AX347" s="740"/>
      <c r="AY347" s="740"/>
      <c r="AZ347" s="740"/>
      <c r="BA347" s="740"/>
      <c r="BB347" s="740"/>
      <c r="BC347" s="740"/>
      <c r="BD347" s="740"/>
      <c r="BE347" s="740"/>
      <c r="BF347" s="740"/>
      <c r="BG347" s="740"/>
      <c r="BH347" s="740"/>
      <c r="BI347" s="740"/>
      <c r="BJ347" s="740"/>
      <c r="BK347" s="740"/>
      <c r="BL347" s="740"/>
      <c r="BM347" s="740"/>
      <c r="BN347" s="740"/>
      <c r="BO347" s="740"/>
      <c r="BP347" s="740"/>
      <c r="BQ347" s="740"/>
      <c r="BR347" s="740"/>
      <c r="BS347" s="740"/>
      <c r="BT347" s="740"/>
      <c r="BU347" s="740"/>
      <c r="BV347" s="740"/>
      <c r="BW347" s="740"/>
      <c r="BX347" s="740"/>
      <c r="BY347" s="740"/>
      <c r="BZ347" s="740"/>
      <c r="CA347" s="740"/>
      <c r="CB347" s="740"/>
      <c r="CC347" s="740"/>
      <c r="CD347" s="740"/>
      <c r="CE347" s="740"/>
      <c r="CF347" s="740"/>
      <c r="CG347" s="740"/>
      <c r="CH347" s="740"/>
      <c r="CI347" s="740"/>
      <c r="CJ347" s="740"/>
      <c r="CK347" s="740"/>
      <c r="CL347" s="740"/>
      <c r="CM347" s="740"/>
      <c r="CN347" s="740"/>
      <c r="CO347" s="740"/>
      <c r="CP347" s="740"/>
      <c r="CQ347" s="740"/>
      <c r="CR347" s="740"/>
      <c r="CS347" s="740"/>
      <c r="CT347" s="740"/>
      <c r="CU347" s="740"/>
      <c r="CV347" s="740"/>
      <c r="CW347" s="740"/>
      <c r="CX347" s="740"/>
      <c r="CY347" s="740"/>
      <c r="CZ347" s="740"/>
      <c r="DA347" s="740"/>
      <c r="DB347" s="740"/>
      <c r="DC347" s="740"/>
      <c r="DD347" s="740"/>
      <c r="DE347" s="740"/>
      <c r="DF347" s="740"/>
      <c r="DG347" s="740"/>
      <c r="DH347" s="740"/>
      <c r="DI347" s="740"/>
      <c r="DJ347" s="740"/>
      <c r="DK347" s="740"/>
      <c r="DL347" s="740"/>
      <c r="DM347" s="740"/>
      <c r="DN347" s="740"/>
      <c r="DO347" s="740"/>
      <c r="DP347" s="740"/>
      <c r="DQ347" s="740"/>
      <c r="DR347" s="740"/>
      <c r="DS347" s="740"/>
      <c r="DT347" s="740"/>
      <c r="DU347" s="740"/>
      <c r="DV347" s="740"/>
      <c r="DW347" s="740"/>
      <c r="DX347" s="740"/>
      <c r="DY347" s="740"/>
      <c r="DZ347" s="740"/>
      <c r="EA347" s="740"/>
      <c r="EB347" s="740"/>
      <c r="EC347" s="740"/>
      <c r="ED347" s="740"/>
      <c r="EE347" s="740"/>
      <c r="EF347" s="740"/>
      <c r="EG347" s="740"/>
      <c r="EH347" s="740"/>
      <c r="EI347" s="740"/>
      <c r="EJ347" s="740"/>
      <c r="EK347" s="740"/>
      <c r="EL347" s="740"/>
      <c r="EM347" s="740"/>
      <c r="EN347" s="740"/>
      <c r="EO347" s="740"/>
      <c r="EP347" s="740"/>
      <c r="EQ347" s="740"/>
      <c r="ER347" s="740"/>
      <c r="ES347" s="740"/>
      <c r="ET347" s="740"/>
      <c r="EU347" s="740"/>
      <c r="EV347" s="740"/>
      <c r="EW347" s="740"/>
      <c r="EX347" s="740"/>
      <c r="EY347" s="740"/>
      <c r="EZ347" s="740"/>
      <c r="FA347" s="740"/>
      <c r="FB347" s="740"/>
      <c r="FC347" s="740"/>
      <c r="FD347" s="740"/>
      <c r="FE347" s="740"/>
      <c r="FF347" s="740"/>
      <c r="FG347" s="740"/>
      <c r="FH347" s="740"/>
      <c r="FI347" s="740"/>
      <c r="FJ347" s="740"/>
      <c r="FK347" s="740"/>
      <c r="FL347" s="740"/>
      <c r="FM347" s="740"/>
      <c r="FN347" s="740"/>
      <c r="FO347" s="740"/>
      <c r="FP347" s="740"/>
      <c r="FQ347" s="740"/>
      <c r="FR347" s="740"/>
      <c r="FS347" s="740"/>
      <c r="FT347" s="740"/>
      <c r="FU347" s="740"/>
      <c r="FV347" s="740"/>
      <c r="FW347" s="740"/>
      <c r="FX347" s="740"/>
      <c r="FY347" s="740"/>
      <c r="FZ347" s="740"/>
      <c r="GA347" s="740"/>
      <c r="GB347" s="740"/>
      <c r="GC347" s="740"/>
      <c r="GD347" s="740"/>
      <c r="GE347" s="740"/>
      <c r="GF347" s="740"/>
      <c r="GG347" s="740"/>
      <c r="GH347" s="740"/>
      <c r="GI347" s="740"/>
      <c r="GJ347" s="740"/>
      <c r="GK347" s="740"/>
      <c r="GL347" s="740"/>
      <c r="GM347" s="740"/>
      <c r="GN347" s="740"/>
      <c r="GO347" s="740"/>
      <c r="GP347" s="740"/>
      <c r="GQ347" s="740"/>
      <c r="GR347" s="740"/>
      <c r="GS347" s="740"/>
      <c r="GT347" s="740"/>
      <c r="GU347" s="740"/>
      <c r="GV347" s="740"/>
      <c r="GW347" s="740"/>
    </row>
    <row r="348" spans="18:205" ht="24" customHeight="1" x14ac:dyDescent="0.2">
      <c r="R348" s="740"/>
      <c r="S348" s="740"/>
      <c r="T348" s="740"/>
      <c r="U348" s="740"/>
      <c r="V348" s="740"/>
      <c r="W348" s="740"/>
      <c r="X348" s="740"/>
      <c r="Y348" s="740"/>
      <c r="Z348" s="740"/>
      <c r="AA348" s="740"/>
      <c r="AB348" s="740"/>
      <c r="AC348" s="740"/>
      <c r="AD348" s="740"/>
      <c r="AE348" s="740"/>
      <c r="AF348" s="740"/>
      <c r="AG348" s="740"/>
      <c r="AH348" s="740"/>
      <c r="AI348" s="740"/>
      <c r="AJ348" s="740"/>
      <c r="AK348" s="740"/>
      <c r="AL348" s="740"/>
      <c r="AM348" s="740"/>
      <c r="AN348" s="740"/>
      <c r="AO348" s="740"/>
      <c r="AP348" s="740"/>
      <c r="AQ348" s="740"/>
      <c r="AR348" s="740"/>
      <c r="AS348" s="740"/>
      <c r="AT348" s="740"/>
      <c r="AU348" s="740"/>
      <c r="AV348" s="740"/>
      <c r="AW348" s="740"/>
      <c r="AX348" s="740"/>
      <c r="AY348" s="740"/>
      <c r="AZ348" s="740"/>
      <c r="BA348" s="740"/>
      <c r="BB348" s="740"/>
      <c r="BC348" s="740"/>
      <c r="BD348" s="740"/>
      <c r="BE348" s="740"/>
      <c r="BF348" s="740"/>
      <c r="BG348" s="740"/>
      <c r="BH348" s="740"/>
      <c r="BI348" s="740"/>
      <c r="BJ348" s="740"/>
      <c r="BK348" s="740"/>
      <c r="BL348" s="740"/>
      <c r="BM348" s="740"/>
      <c r="BN348" s="740"/>
      <c r="BO348" s="740"/>
      <c r="BP348" s="740"/>
      <c r="BQ348" s="740"/>
      <c r="BR348" s="740"/>
      <c r="BS348" s="740"/>
      <c r="BT348" s="740"/>
      <c r="BU348" s="740"/>
      <c r="BV348" s="740"/>
      <c r="BW348" s="740"/>
      <c r="BX348" s="740"/>
      <c r="BY348" s="740"/>
      <c r="BZ348" s="740"/>
      <c r="CA348" s="740"/>
      <c r="CB348" s="740"/>
      <c r="CC348" s="740"/>
      <c r="CD348" s="740"/>
      <c r="CE348" s="740"/>
      <c r="CF348" s="740"/>
      <c r="CG348" s="740"/>
      <c r="CH348" s="740"/>
      <c r="CI348" s="740"/>
      <c r="CJ348" s="740"/>
      <c r="CK348" s="740"/>
      <c r="CL348" s="740"/>
      <c r="CM348" s="740"/>
      <c r="CN348" s="740"/>
      <c r="CO348" s="740"/>
      <c r="CP348" s="740"/>
      <c r="CQ348" s="740"/>
      <c r="CR348" s="740"/>
      <c r="CS348" s="740"/>
      <c r="CT348" s="740"/>
      <c r="CU348" s="740"/>
      <c r="CV348" s="740"/>
      <c r="CW348" s="740"/>
      <c r="CX348" s="740"/>
      <c r="CY348" s="740"/>
      <c r="CZ348" s="740"/>
      <c r="DA348" s="740"/>
      <c r="DB348" s="740"/>
      <c r="DC348" s="740"/>
      <c r="DD348" s="740"/>
      <c r="DE348" s="740"/>
      <c r="DF348" s="740"/>
      <c r="DG348" s="740"/>
      <c r="DH348" s="740"/>
      <c r="DI348" s="740"/>
      <c r="DJ348" s="740"/>
      <c r="DK348" s="740"/>
      <c r="DL348" s="740"/>
      <c r="DM348" s="740"/>
      <c r="DN348" s="740"/>
      <c r="DO348" s="740"/>
      <c r="DP348" s="740"/>
      <c r="DQ348" s="740"/>
      <c r="DR348" s="740"/>
      <c r="DS348" s="740"/>
      <c r="DT348" s="740"/>
      <c r="DU348" s="740"/>
      <c r="DV348" s="740"/>
      <c r="DW348" s="740"/>
      <c r="DX348" s="740"/>
      <c r="DY348" s="740"/>
      <c r="DZ348" s="740"/>
      <c r="EA348" s="740"/>
      <c r="EB348" s="740"/>
      <c r="EC348" s="740"/>
      <c r="ED348" s="740"/>
      <c r="EE348" s="740"/>
      <c r="EF348" s="740"/>
      <c r="EG348" s="740"/>
      <c r="EH348" s="740"/>
      <c r="EI348" s="740"/>
      <c r="EJ348" s="740"/>
      <c r="EK348" s="740"/>
      <c r="EL348" s="740"/>
      <c r="EM348" s="740"/>
      <c r="EN348" s="740"/>
      <c r="EO348" s="740"/>
      <c r="EP348" s="740"/>
      <c r="EQ348" s="740"/>
      <c r="ER348" s="740"/>
      <c r="ES348" s="740"/>
      <c r="ET348" s="740"/>
      <c r="EU348" s="740"/>
      <c r="EV348" s="740"/>
      <c r="EW348" s="740"/>
      <c r="EX348" s="740"/>
      <c r="EY348" s="740"/>
      <c r="EZ348" s="740"/>
      <c r="FA348" s="740"/>
      <c r="FB348" s="740"/>
      <c r="FC348" s="740"/>
      <c r="FD348" s="740"/>
      <c r="FE348" s="740"/>
      <c r="FF348" s="740"/>
      <c r="FG348" s="740"/>
      <c r="FH348" s="740"/>
      <c r="FI348" s="740"/>
      <c r="FJ348" s="740"/>
      <c r="FK348" s="740"/>
      <c r="FL348" s="740"/>
      <c r="FM348" s="740"/>
      <c r="FN348" s="740"/>
      <c r="FO348" s="740"/>
      <c r="FP348" s="740"/>
      <c r="FQ348" s="740"/>
      <c r="FR348" s="740"/>
      <c r="FS348" s="740"/>
      <c r="FT348" s="740"/>
      <c r="FU348" s="740"/>
      <c r="FV348" s="740"/>
      <c r="FW348" s="740"/>
      <c r="FX348" s="740"/>
      <c r="FY348" s="740"/>
      <c r="FZ348" s="740"/>
      <c r="GA348" s="740"/>
      <c r="GB348" s="740"/>
      <c r="GC348" s="740"/>
      <c r="GD348" s="740"/>
      <c r="GE348" s="740"/>
      <c r="GF348" s="740"/>
      <c r="GG348" s="740"/>
      <c r="GH348" s="740"/>
      <c r="GI348" s="740"/>
      <c r="GJ348" s="740"/>
      <c r="GK348" s="740"/>
      <c r="GL348" s="740"/>
      <c r="GM348" s="740"/>
      <c r="GN348" s="740"/>
      <c r="GO348" s="740"/>
      <c r="GP348" s="740"/>
      <c r="GQ348" s="740"/>
      <c r="GR348" s="740"/>
      <c r="GS348" s="740"/>
      <c r="GT348" s="740"/>
      <c r="GU348" s="740"/>
      <c r="GV348" s="740"/>
      <c r="GW348" s="740"/>
    </row>
    <row r="349" spans="18:205" ht="24" customHeight="1" x14ac:dyDescent="0.2">
      <c r="R349" s="740"/>
      <c r="S349" s="740"/>
      <c r="T349" s="740"/>
      <c r="U349" s="740"/>
      <c r="V349" s="740"/>
      <c r="W349" s="740"/>
      <c r="X349" s="740"/>
      <c r="Y349" s="740"/>
      <c r="Z349" s="740"/>
      <c r="AA349" s="740"/>
      <c r="AB349" s="740"/>
      <c r="AC349" s="740"/>
      <c r="AD349" s="740"/>
      <c r="AE349" s="740"/>
      <c r="AF349" s="740"/>
      <c r="AG349" s="740"/>
      <c r="AH349" s="740"/>
      <c r="AI349" s="740"/>
      <c r="AJ349" s="740"/>
      <c r="AK349" s="740"/>
      <c r="AL349" s="740"/>
      <c r="AM349" s="740"/>
      <c r="AN349" s="740"/>
      <c r="AO349" s="740"/>
      <c r="AP349" s="740"/>
      <c r="AQ349" s="740"/>
      <c r="AR349" s="740"/>
      <c r="AS349" s="740"/>
      <c r="AT349" s="740"/>
      <c r="AU349" s="740"/>
      <c r="AV349" s="740"/>
      <c r="AW349" s="740"/>
      <c r="AX349" s="740"/>
      <c r="AY349" s="740"/>
      <c r="AZ349" s="740"/>
      <c r="BA349" s="740"/>
      <c r="BB349" s="740"/>
      <c r="BC349" s="740"/>
      <c r="BD349" s="740"/>
      <c r="BE349" s="740"/>
      <c r="BF349" s="740"/>
      <c r="BG349" s="740"/>
      <c r="BH349" s="740"/>
      <c r="BI349" s="740"/>
      <c r="BJ349" s="740"/>
      <c r="BK349" s="740"/>
      <c r="BL349" s="740"/>
      <c r="BM349" s="740"/>
      <c r="BN349" s="740"/>
      <c r="BO349" s="740"/>
      <c r="BP349" s="740"/>
      <c r="BQ349" s="740"/>
      <c r="BR349" s="740"/>
      <c r="BS349" s="740"/>
      <c r="BT349" s="740"/>
      <c r="BU349" s="740"/>
      <c r="BV349" s="740"/>
      <c r="BW349" s="740"/>
      <c r="BX349" s="740"/>
      <c r="BY349" s="740"/>
      <c r="BZ349" s="740"/>
      <c r="CA349" s="740"/>
      <c r="CB349" s="740"/>
      <c r="CC349" s="740"/>
      <c r="CD349" s="740"/>
      <c r="CE349" s="740"/>
      <c r="CF349" s="740"/>
      <c r="CG349" s="740"/>
      <c r="CH349" s="740"/>
      <c r="CI349" s="740"/>
      <c r="CJ349" s="740"/>
      <c r="CK349" s="740"/>
      <c r="CL349" s="740"/>
      <c r="CM349" s="740"/>
      <c r="CN349" s="740"/>
      <c r="CO349" s="740"/>
      <c r="CP349" s="740"/>
      <c r="CQ349" s="740"/>
      <c r="CR349" s="740"/>
      <c r="CS349" s="740"/>
      <c r="CT349" s="740"/>
      <c r="CU349" s="740"/>
      <c r="CV349" s="740"/>
      <c r="CW349" s="740"/>
      <c r="CX349" s="740"/>
      <c r="CY349" s="740"/>
      <c r="CZ349" s="740"/>
      <c r="DA349" s="740"/>
      <c r="DB349" s="740"/>
      <c r="DC349" s="740"/>
      <c r="DD349" s="740"/>
      <c r="DE349" s="740"/>
      <c r="DF349" s="740"/>
      <c r="DG349" s="740"/>
      <c r="DH349" s="740"/>
      <c r="DI349" s="740"/>
      <c r="DJ349" s="740"/>
      <c r="DK349" s="740"/>
      <c r="DL349" s="740"/>
      <c r="DM349" s="740"/>
      <c r="DN349" s="740"/>
      <c r="DO349" s="740"/>
      <c r="DP349" s="740"/>
      <c r="DQ349" s="740"/>
      <c r="DR349" s="740"/>
      <c r="DS349" s="740"/>
      <c r="DT349" s="740"/>
      <c r="DU349" s="740"/>
      <c r="DV349" s="740"/>
      <c r="DW349" s="740"/>
      <c r="DX349" s="740"/>
      <c r="DY349" s="740"/>
      <c r="DZ349" s="740"/>
      <c r="EA349" s="740"/>
      <c r="EB349" s="740"/>
      <c r="EC349" s="740"/>
      <c r="ED349" s="740"/>
      <c r="EE349" s="740"/>
      <c r="EF349" s="740"/>
      <c r="EG349" s="740"/>
      <c r="EH349" s="740"/>
      <c r="EI349" s="740"/>
      <c r="EJ349" s="740"/>
      <c r="EK349" s="740"/>
      <c r="EL349" s="740"/>
      <c r="EM349" s="740"/>
      <c r="EN349" s="740"/>
      <c r="EO349" s="740"/>
      <c r="EP349" s="740"/>
      <c r="EQ349" s="740"/>
      <c r="ER349" s="740"/>
      <c r="ES349" s="740"/>
      <c r="ET349" s="740"/>
      <c r="EU349" s="740"/>
      <c r="EV349" s="740"/>
      <c r="EW349" s="740"/>
      <c r="EX349" s="740"/>
      <c r="EY349" s="740"/>
      <c r="EZ349" s="740"/>
      <c r="FA349" s="740"/>
      <c r="FB349" s="740"/>
      <c r="FC349" s="740"/>
      <c r="FD349" s="740"/>
      <c r="FE349" s="740"/>
      <c r="FF349" s="740"/>
      <c r="FG349" s="740"/>
      <c r="FH349" s="740"/>
      <c r="FI349" s="740"/>
      <c r="FJ349" s="740"/>
      <c r="FK349" s="740"/>
      <c r="FL349" s="740"/>
      <c r="FM349" s="740"/>
      <c r="FN349" s="740"/>
      <c r="FO349" s="740"/>
      <c r="FP349" s="740"/>
      <c r="FQ349" s="740"/>
      <c r="FR349" s="740"/>
      <c r="FS349" s="740"/>
      <c r="FT349" s="740"/>
      <c r="FU349" s="740"/>
      <c r="FV349" s="740"/>
      <c r="FW349" s="740"/>
      <c r="FX349" s="740"/>
      <c r="FY349" s="740"/>
      <c r="FZ349" s="740"/>
      <c r="GA349" s="740"/>
      <c r="GB349" s="740"/>
      <c r="GC349" s="740"/>
      <c r="GD349" s="740"/>
      <c r="GE349" s="740"/>
      <c r="GF349" s="740"/>
      <c r="GG349" s="740"/>
      <c r="GH349" s="740"/>
      <c r="GI349" s="740"/>
      <c r="GJ349" s="740"/>
      <c r="GK349" s="740"/>
      <c r="GL349" s="740"/>
      <c r="GM349" s="740"/>
      <c r="GN349" s="740"/>
      <c r="GO349" s="740"/>
      <c r="GP349" s="740"/>
      <c r="GQ349" s="740"/>
      <c r="GR349" s="740"/>
      <c r="GS349" s="740"/>
      <c r="GT349" s="740"/>
      <c r="GU349" s="740"/>
      <c r="GV349" s="740"/>
      <c r="GW349" s="740"/>
    </row>
    <row r="350" spans="18:205" ht="24" customHeight="1" x14ac:dyDescent="0.2">
      <c r="R350" s="740"/>
      <c r="S350" s="740"/>
      <c r="T350" s="740"/>
      <c r="U350" s="740"/>
      <c r="V350" s="740"/>
      <c r="W350" s="740"/>
      <c r="X350" s="740"/>
      <c r="Y350" s="740"/>
      <c r="Z350" s="740"/>
      <c r="AA350" s="740"/>
      <c r="AB350" s="740"/>
      <c r="AC350" s="740"/>
      <c r="AD350" s="740"/>
      <c r="AE350" s="740"/>
      <c r="AF350" s="740"/>
      <c r="AG350" s="740"/>
      <c r="AH350" s="740"/>
      <c r="AI350" s="740"/>
      <c r="AJ350" s="740"/>
      <c r="AK350" s="740"/>
      <c r="AL350" s="740"/>
      <c r="AM350" s="740"/>
      <c r="AN350" s="740"/>
      <c r="AO350" s="740"/>
      <c r="AP350" s="740"/>
      <c r="AQ350" s="740"/>
      <c r="AR350" s="740"/>
      <c r="AS350" s="740"/>
      <c r="AT350" s="740"/>
      <c r="AU350" s="740"/>
      <c r="AV350" s="740"/>
      <c r="AW350" s="740"/>
      <c r="AX350" s="740"/>
      <c r="AY350" s="740"/>
      <c r="AZ350" s="740"/>
      <c r="BA350" s="740"/>
      <c r="BB350" s="740"/>
      <c r="BC350" s="740"/>
      <c r="BD350" s="740"/>
      <c r="BE350" s="740"/>
      <c r="BF350" s="740"/>
      <c r="BG350" s="740"/>
      <c r="BH350" s="740"/>
      <c r="BI350" s="740"/>
      <c r="BJ350" s="740"/>
      <c r="BK350" s="740"/>
      <c r="BL350" s="740"/>
      <c r="BM350" s="740"/>
      <c r="BN350" s="740"/>
      <c r="BO350" s="740"/>
      <c r="BP350" s="740"/>
      <c r="BQ350" s="740"/>
      <c r="BR350" s="740"/>
      <c r="BS350" s="740"/>
      <c r="BT350" s="740"/>
      <c r="BU350" s="740"/>
      <c r="BV350" s="740"/>
      <c r="BW350" s="740"/>
      <c r="BX350" s="740"/>
      <c r="BY350" s="740"/>
      <c r="BZ350" s="740"/>
      <c r="CA350" s="740"/>
      <c r="CB350" s="740"/>
      <c r="CC350" s="740"/>
      <c r="CD350" s="740"/>
      <c r="CE350" s="740"/>
      <c r="CF350" s="740"/>
      <c r="CG350" s="740"/>
      <c r="CH350" s="740"/>
      <c r="CI350" s="740"/>
      <c r="CJ350" s="740"/>
      <c r="CK350" s="740"/>
      <c r="CL350" s="740"/>
      <c r="CM350" s="740"/>
      <c r="CN350" s="740"/>
      <c r="CO350" s="740"/>
      <c r="CP350" s="740"/>
      <c r="CQ350" s="740"/>
      <c r="CR350" s="740"/>
      <c r="CS350" s="740"/>
      <c r="CT350" s="740"/>
      <c r="CU350" s="740"/>
      <c r="CV350" s="740"/>
      <c r="CW350" s="740"/>
      <c r="CX350" s="740"/>
      <c r="CY350" s="740"/>
      <c r="CZ350" s="740"/>
      <c r="DA350" s="740"/>
      <c r="DB350" s="740"/>
      <c r="DC350" s="740"/>
      <c r="DD350" s="740"/>
      <c r="DE350" s="740"/>
      <c r="DF350" s="740"/>
      <c r="DG350" s="740"/>
      <c r="DH350" s="740"/>
      <c r="DI350" s="740"/>
      <c r="DJ350" s="740"/>
      <c r="DK350" s="740"/>
      <c r="DL350" s="740"/>
      <c r="DM350" s="740"/>
      <c r="DN350" s="740"/>
      <c r="DO350" s="740"/>
      <c r="DP350" s="740"/>
      <c r="DQ350" s="740"/>
      <c r="DR350" s="740"/>
      <c r="DS350" s="740"/>
      <c r="DT350" s="740"/>
      <c r="DU350" s="740"/>
      <c r="DV350" s="740"/>
      <c r="DW350" s="740"/>
      <c r="DX350" s="740"/>
      <c r="DY350" s="740"/>
      <c r="DZ350" s="740"/>
      <c r="EA350" s="740"/>
      <c r="EB350" s="740"/>
      <c r="EC350" s="740"/>
      <c r="ED350" s="740"/>
      <c r="EE350" s="740"/>
      <c r="EF350" s="740"/>
      <c r="EG350" s="740"/>
      <c r="EH350" s="740"/>
      <c r="EI350" s="740"/>
      <c r="EJ350" s="740"/>
      <c r="EK350" s="740"/>
      <c r="EL350" s="740"/>
      <c r="EM350" s="740"/>
      <c r="EN350" s="740"/>
      <c r="EO350" s="740"/>
      <c r="EP350" s="740"/>
      <c r="EQ350" s="740"/>
      <c r="ER350" s="740"/>
      <c r="ES350" s="740"/>
      <c r="ET350" s="740"/>
      <c r="EU350" s="740"/>
      <c r="EV350" s="740"/>
      <c r="EW350" s="740"/>
      <c r="EX350" s="740"/>
      <c r="EY350" s="740"/>
      <c r="EZ350" s="740"/>
      <c r="FA350" s="740"/>
      <c r="FB350" s="740"/>
      <c r="FC350" s="740"/>
      <c r="FD350" s="740"/>
      <c r="FE350" s="740"/>
      <c r="FF350" s="740"/>
      <c r="FG350" s="740"/>
      <c r="FH350" s="740"/>
      <c r="FI350" s="740"/>
      <c r="FJ350" s="740"/>
      <c r="FK350" s="740"/>
      <c r="FL350" s="740"/>
      <c r="FM350" s="740"/>
      <c r="FN350" s="740"/>
      <c r="FO350" s="740"/>
      <c r="FP350" s="740"/>
      <c r="FQ350" s="740"/>
      <c r="FR350" s="740"/>
      <c r="FS350" s="740"/>
      <c r="FT350" s="740"/>
      <c r="FU350" s="740"/>
      <c r="FV350" s="740"/>
      <c r="FW350" s="740"/>
      <c r="FX350" s="740"/>
      <c r="FY350" s="740"/>
      <c r="FZ350" s="740"/>
      <c r="GA350" s="740"/>
      <c r="GB350" s="740"/>
      <c r="GC350" s="740"/>
      <c r="GD350" s="740"/>
      <c r="GE350" s="740"/>
      <c r="GF350" s="740"/>
      <c r="GG350" s="740"/>
      <c r="GH350" s="740"/>
      <c r="GI350" s="740"/>
      <c r="GJ350" s="740"/>
      <c r="GK350" s="740"/>
      <c r="GL350" s="740"/>
      <c r="GM350" s="740"/>
      <c r="GN350" s="740"/>
      <c r="GO350" s="740"/>
      <c r="GP350" s="740"/>
      <c r="GQ350" s="740"/>
      <c r="GR350" s="740"/>
      <c r="GS350" s="740"/>
      <c r="GT350" s="740"/>
      <c r="GU350" s="740"/>
      <c r="GV350" s="740"/>
      <c r="GW350" s="740"/>
    </row>
    <row r="351" spans="18:205" ht="24" customHeight="1" x14ac:dyDescent="0.2">
      <c r="R351" s="740"/>
      <c r="S351" s="740"/>
      <c r="T351" s="740"/>
      <c r="U351" s="740"/>
      <c r="V351" s="740"/>
      <c r="W351" s="740"/>
      <c r="X351" s="740"/>
      <c r="Y351" s="740"/>
      <c r="Z351" s="740"/>
      <c r="AA351" s="740"/>
      <c r="AB351" s="740"/>
      <c r="AC351" s="740"/>
      <c r="AD351" s="740"/>
      <c r="AE351" s="740"/>
      <c r="AF351" s="740"/>
      <c r="AG351" s="740"/>
      <c r="AH351" s="740"/>
      <c r="AI351" s="740"/>
      <c r="AJ351" s="740"/>
      <c r="AK351" s="740"/>
      <c r="AL351" s="740"/>
      <c r="AM351" s="740"/>
      <c r="AN351" s="740"/>
      <c r="AO351" s="740"/>
      <c r="AP351" s="740"/>
      <c r="AQ351" s="740"/>
      <c r="AR351" s="740"/>
      <c r="AS351" s="740"/>
      <c r="AT351" s="740"/>
      <c r="AU351" s="740"/>
      <c r="AV351" s="740"/>
      <c r="AW351" s="740"/>
      <c r="AX351" s="740"/>
      <c r="AY351" s="740"/>
      <c r="AZ351" s="740"/>
      <c r="BA351" s="740"/>
      <c r="BB351" s="740"/>
      <c r="BC351" s="740"/>
      <c r="BD351" s="740"/>
      <c r="BE351" s="740"/>
      <c r="BF351" s="740"/>
      <c r="BG351" s="740"/>
      <c r="BH351" s="740"/>
      <c r="BI351" s="740"/>
      <c r="BJ351" s="740"/>
      <c r="BK351" s="740"/>
      <c r="BL351" s="740"/>
      <c r="BM351" s="740"/>
      <c r="BN351" s="740"/>
      <c r="BO351" s="740"/>
      <c r="BP351" s="740"/>
      <c r="BQ351" s="740"/>
      <c r="BR351" s="740"/>
      <c r="BS351" s="740"/>
      <c r="BT351" s="740"/>
      <c r="BU351" s="740"/>
      <c r="BV351" s="740"/>
      <c r="BW351" s="740"/>
      <c r="BX351" s="740"/>
      <c r="BY351" s="740"/>
      <c r="BZ351" s="740"/>
      <c r="CA351" s="740"/>
      <c r="CB351" s="740"/>
      <c r="CC351" s="740"/>
      <c r="CD351" s="740"/>
      <c r="CE351" s="740"/>
      <c r="CF351" s="740"/>
      <c r="CG351" s="740"/>
      <c r="CH351" s="740"/>
      <c r="CI351" s="740"/>
      <c r="CJ351" s="740"/>
      <c r="CK351" s="740"/>
      <c r="CL351" s="740"/>
      <c r="CM351" s="740"/>
      <c r="CN351" s="740"/>
      <c r="CO351" s="740"/>
      <c r="CP351" s="740"/>
      <c r="CQ351" s="740"/>
      <c r="CR351" s="740"/>
      <c r="CS351" s="740"/>
      <c r="CT351" s="740"/>
      <c r="CU351" s="740"/>
      <c r="CV351" s="740"/>
      <c r="CW351" s="740"/>
      <c r="CX351" s="740"/>
      <c r="CY351" s="740"/>
      <c r="CZ351" s="740"/>
      <c r="DA351" s="740"/>
      <c r="DB351" s="740"/>
      <c r="DC351" s="740"/>
      <c r="DD351" s="740"/>
      <c r="DE351" s="740"/>
      <c r="DF351" s="740"/>
      <c r="DG351" s="740"/>
      <c r="DH351" s="740"/>
      <c r="DI351" s="740"/>
      <c r="DJ351" s="740"/>
      <c r="DK351" s="740"/>
      <c r="DL351" s="740"/>
      <c r="DM351" s="740"/>
      <c r="DN351" s="740"/>
      <c r="DO351" s="740"/>
      <c r="DP351" s="740"/>
      <c r="DQ351" s="740"/>
      <c r="DR351" s="740"/>
      <c r="DS351" s="740"/>
      <c r="DT351" s="740"/>
      <c r="DU351" s="740"/>
      <c r="DV351" s="740"/>
      <c r="DW351" s="740"/>
      <c r="DX351" s="740"/>
      <c r="DY351" s="740"/>
      <c r="DZ351" s="740"/>
      <c r="EA351" s="740"/>
      <c r="EB351" s="740"/>
      <c r="EC351" s="740"/>
      <c r="ED351" s="740"/>
      <c r="EE351" s="740"/>
      <c r="EF351" s="740"/>
      <c r="EG351" s="740"/>
      <c r="EH351" s="740"/>
      <c r="EI351" s="740"/>
      <c r="EJ351" s="740"/>
      <c r="EK351" s="740"/>
      <c r="EL351" s="740"/>
      <c r="EM351" s="740"/>
      <c r="EN351" s="740"/>
      <c r="EO351" s="740"/>
      <c r="EP351" s="740"/>
      <c r="EQ351" s="740"/>
      <c r="ER351" s="740"/>
      <c r="ES351" s="740"/>
      <c r="ET351" s="740"/>
      <c r="EU351" s="740"/>
      <c r="EV351" s="740"/>
      <c r="EW351" s="740"/>
      <c r="EX351" s="740"/>
      <c r="EY351" s="740"/>
      <c r="EZ351" s="740"/>
      <c r="FA351" s="740"/>
      <c r="FB351" s="740"/>
      <c r="FC351" s="740"/>
      <c r="FD351" s="740"/>
      <c r="FE351" s="740"/>
      <c r="FF351" s="740"/>
      <c r="FG351" s="740"/>
      <c r="FH351" s="740"/>
      <c r="FI351" s="740"/>
      <c r="FJ351" s="740"/>
      <c r="FK351" s="740"/>
      <c r="FL351" s="740"/>
      <c r="FM351" s="740"/>
      <c r="FN351" s="740"/>
      <c r="FO351" s="740"/>
      <c r="FP351" s="740"/>
      <c r="FQ351" s="740"/>
      <c r="FR351" s="740"/>
      <c r="FS351" s="740"/>
      <c r="FT351" s="740"/>
      <c r="FU351" s="740"/>
      <c r="FV351" s="740"/>
      <c r="FW351" s="740"/>
      <c r="FX351" s="740"/>
      <c r="FY351" s="740"/>
      <c r="FZ351" s="740"/>
      <c r="GA351" s="740"/>
      <c r="GB351" s="740"/>
      <c r="GC351" s="740"/>
      <c r="GD351" s="740"/>
      <c r="GE351" s="740"/>
      <c r="GF351" s="740"/>
      <c r="GG351" s="740"/>
      <c r="GH351" s="740"/>
      <c r="GI351" s="740"/>
      <c r="GJ351" s="740"/>
      <c r="GK351" s="740"/>
      <c r="GL351" s="740"/>
      <c r="GM351" s="740"/>
      <c r="GN351" s="740"/>
      <c r="GO351" s="740"/>
      <c r="GP351" s="740"/>
      <c r="GQ351" s="740"/>
      <c r="GR351" s="740"/>
      <c r="GS351" s="740"/>
      <c r="GT351" s="740"/>
      <c r="GU351" s="740"/>
      <c r="GV351" s="740"/>
      <c r="GW351" s="740"/>
    </row>
    <row r="352" spans="18:205" ht="24" customHeight="1" x14ac:dyDescent="0.2">
      <c r="R352" s="740"/>
      <c r="S352" s="740"/>
      <c r="T352" s="740"/>
      <c r="U352" s="740"/>
      <c r="V352" s="740"/>
      <c r="W352" s="740"/>
      <c r="X352" s="740"/>
      <c r="Y352" s="740"/>
      <c r="Z352" s="740"/>
      <c r="AA352" s="740"/>
      <c r="AB352" s="740"/>
      <c r="AC352" s="740"/>
      <c r="AD352" s="740"/>
      <c r="AE352" s="740"/>
      <c r="AF352" s="740"/>
      <c r="AG352" s="740"/>
      <c r="AH352" s="740"/>
      <c r="AI352" s="740"/>
      <c r="AJ352" s="740"/>
      <c r="AK352" s="740"/>
      <c r="AL352" s="740"/>
      <c r="AM352" s="740"/>
      <c r="AN352" s="740"/>
      <c r="AO352" s="740"/>
      <c r="AP352" s="740"/>
      <c r="AQ352" s="740"/>
      <c r="AR352" s="740"/>
      <c r="AS352" s="740"/>
      <c r="AT352" s="740"/>
      <c r="AU352" s="740"/>
      <c r="AV352" s="740"/>
      <c r="AW352" s="740"/>
      <c r="AX352" s="740"/>
      <c r="AY352" s="740"/>
      <c r="AZ352" s="740"/>
      <c r="BA352" s="740"/>
      <c r="BB352" s="740"/>
      <c r="BC352" s="740"/>
      <c r="BD352" s="740"/>
      <c r="BE352" s="740"/>
      <c r="BF352" s="740"/>
      <c r="BG352" s="740"/>
      <c r="BH352" s="740"/>
      <c r="BI352" s="740"/>
      <c r="BJ352" s="740"/>
      <c r="BK352" s="740"/>
      <c r="BL352" s="740"/>
      <c r="BM352" s="740"/>
      <c r="BN352" s="740"/>
      <c r="BO352" s="740"/>
      <c r="BP352" s="740"/>
      <c r="BQ352" s="740"/>
      <c r="BR352" s="740"/>
      <c r="BS352" s="740"/>
      <c r="BT352" s="740"/>
      <c r="BU352" s="740"/>
      <c r="BV352" s="740"/>
      <c r="BW352" s="740"/>
      <c r="BX352" s="740"/>
      <c r="BY352" s="740"/>
      <c r="BZ352" s="740"/>
      <c r="CA352" s="740"/>
      <c r="CB352" s="740"/>
      <c r="CC352" s="740"/>
      <c r="CD352" s="740"/>
      <c r="CE352" s="740"/>
      <c r="CF352" s="740"/>
      <c r="CG352" s="740"/>
      <c r="CH352" s="740"/>
      <c r="CI352" s="740"/>
      <c r="CJ352" s="740"/>
      <c r="CK352" s="740"/>
      <c r="CL352" s="740"/>
      <c r="CM352" s="740"/>
      <c r="CN352" s="740"/>
      <c r="CO352" s="740"/>
      <c r="CP352" s="740"/>
      <c r="CQ352" s="740"/>
      <c r="CR352" s="740"/>
      <c r="CS352" s="740"/>
      <c r="CT352" s="740"/>
      <c r="CU352" s="740"/>
      <c r="CV352" s="740"/>
      <c r="CW352" s="740"/>
      <c r="CX352" s="740"/>
      <c r="CY352" s="740"/>
      <c r="CZ352" s="740"/>
      <c r="DA352" s="740"/>
      <c r="DB352" s="740"/>
      <c r="DC352" s="740"/>
      <c r="DD352" s="740"/>
      <c r="DE352" s="740"/>
      <c r="DF352" s="740"/>
      <c r="DG352" s="740"/>
      <c r="DH352" s="740"/>
      <c r="DI352" s="740"/>
      <c r="DJ352" s="740"/>
      <c r="DK352" s="740"/>
      <c r="DL352" s="740"/>
      <c r="DM352" s="740"/>
      <c r="DN352" s="740"/>
      <c r="DO352" s="740"/>
      <c r="DP352" s="740"/>
      <c r="DQ352" s="740"/>
      <c r="DR352" s="740"/>
      <c r="DS352" s="740"/>
      <c r="DT352" s="740"/>
      <c r="DU352" s="740"/>
      <c r="DV352" s="740"/>
      <c r="DW352" s="740"/>
      <c r="DX352" s="740"/>
      <c r="DY352" s="740"/>
      <c r="DZ352" s="740"/>
      <c r="EA352" s="740"/>
      <c r="EB352" s="740"/>
      <c r="EC352" s="740"/>
      <c r="ED352" s="740"/>
      <c r="EE352" s="740"/>
      <c r="EF352" s="740"/>
      <c r="EG352" s="740"/>
      <c r="EH352" s="740"/>
      <c r="EI352" s="740"/>
      <c r="EJ352" s="740"/>
      <c r="EK352" s="740"/>
      <c r="EL352" s="740"/>
      <c r="EM352" s="740"/>
      <c r="EN352" s="740"/>
      <c r="EO352" s="740"/>
      <c r="EP352" s="740"/>
      <c r="EQ352" s="740"/>
      <c r="ER352" s="740"/>
      <c r="ES352" s="740"/>
      <c r="ET352" s="740"/>
      <c r="EU352" s="740"/>
      <c r="EV352" s="740"/>
      <c r="EW352" s="740"/>
      <c r="EX352" s="740"/>
      <c r="EY352" s="740"/>
      <c r="EZ352" s="740"/>
      <c r="FA352" s="740"/>
      <c r="FB352" s="740"/>
      <c r="FC352" s="740"/>
      <c r="FD352" s="740"/>
      <c r="FE352" s="740"/>
      <c r="FF352" s="740"/>
      <c r="FG352" s="740"/>
      <c r="FH352" s="740"/>
      <c r="FI352" s="740"/>
      <c r="FJ352" s="740"/>
      <c r="FK352" s="740"/>
      <c r="FL352" s="740"/>
      <c r="FM352" s="740"/>
      <c r="FN352" s="740"/>
      <c r="FO352" s="740"/>
      <c r="FP352" s="740"/>
      <c r="FQ352" s="740"/>
      <c r="FR352" s="740"/>
      <c r="FS352" s="740"/>
      <c r="FT352" s="740"/>
      <c r="FU352" s="740"/>
      <c r="FV352" s="740"/>
      <c r="FW352" s="740"/>
      <c r="FX352" s="740"/>
      <c r="FY352" s="740"/>
      <c r="FZ352" s="740"/>
      <c r="GA352" s="740"/>
      <c r="GB352" s="740"/>
      <c r="GC352" s="740"/>
      <c r="GD352" s="740"/>
      <c r="GE352" s="740"/>
      <c r="GF352" s="740"/>
      <c r="GG352" s="740"/>
      <c r="GH352" s="740"/>
      <c r="GI352" s="740"/>
      <c r="GJ352" s="740"/>
      <c r="GK352" s="740"/>
      <c r="GL352" s="740"/>
      <c r="GM352" s="740"/>
      <c r="GN352" s="740"/>
      <c r="GO352" s="740"/>
      <c r="GP352" s="740"/>
      <c r="GQ352" s="740"/>
      <c r="GR352" s="740"/>
      <c r="GS352" s="740"/>
      <c r="GT352" s="740"/>
      <c r="GU352" s="740"/>
      <c r="GV352" s="740"/>
      <c r="GW352" s="740"/>
    </row>
    <row r="353" spans="18:205" ht="24" customHeight="1" x14ac:dyDescent="0.2">
      <c r="R353" s="740"/>
      <c r="S353" s="740"/>
      <c r="T353" s="740"/>
      <c r="U353" s="740"/>
      <c r="V353" s="740"/>
      <c r="W353" s="740"/>
      <c r="X353" s="740"/>
      <c r="Y353" s="740"/>
      <c r="Z353" s="740"/>
      <c r="AA353" s="740"/>
      <c r="AB353" s="740"/>
      <c r="AC353" s="740"/>
      <c r="AD353" s="740"/>
      <c r="AE353" s="740"/>
      <c r="AF353" s="740"/>
      <c r="AG353" s="740"/>
      <c r="AH353" s="740"/>
      <c r="AI353" s="740"/>
      <c r="AJ353" s="740"/>
      <c r="AK353" s="740"/>
      <c r="AL353" s="740"/>
      <c r="AM353" s="740"/>
      <c r="AN353" s="740"/>
      <c r="AO353" s="740"/>
      <c r="AP353" s="740"/>
      <c r="AQ353" s="740"/>
      <c r="AR353" s="740"/>
      <c r="AS353" s="740"/>
      <c r="AT353" s="740"/>
      <c r="AU353" s="740"/>
      <c r="AV353" s="740"/>
      <c r="AW353" s="740"/>
      <c r="AX353" s="740"/>
      <c r="AY353" s="740"/>
      <c r="AZ353" s="740"/>
      <c r="BA353" s="740"/>
      <c r="BB353" s="740"/>
      <c r="BC353" s="740"/>
      <c r="BD353" s="740"/>
      <c r="BE353" s="740"/>
      <c r="BF353" s="740"/>
      <c r="BG353" s="740"/>
      <c r="BH353" s="740"/>
      <c r="BI353" s="740"/>
      <c r="BJ353" s="740"/>
      <c r="BK353" s="740"/>
      <c r="BL353" s="740"/>
      <c r="BM353" s="740"/>
      <c r="BN353" s="740"/>
      <c r="BO353" s="740"/>
      <c r="BP353" s="740"/>
      <c r="BQ353" s="740"/>
      <c r="BR353" s="740"/>
      <c r="BS353" s="740"/>
      <c r="BT353" s="740"/>
      <c r="BU353" s="740"/>
      <c r="BV353" s="740"/>
      <c r="BW353" s="740"/>
      <c r="BX353" s="740"/>
      <c r="BY353" s="740"/>
      <c r="BZ353" s="740"/>
      <c r="CA353" s="740"/>
      <c r="CB353" s="740"/>
      <c r="CC353" s="740"/>
      <c r="CD353" s="740"/>
      <c r="CE353" s="740"/>
      <c r="CF353" s="740"/>
      <c r="CG353" s="740"/>
      <c r="CH353" s="740"/>
      <c r="CI353" s="740"/>
      <c r="CJ353" s="740"/>
      <c r="CK353" s="740"/>
      <c r="CL353" s="740"/>
      <c r="CM353" s="740"/>
      <c r="CN353" s="740"/>
      <c r="CO353" s="740"/>
      <c r="CP353" s="740"/>
      <c r="CQ353" s="740"/>
      <c r="CR353" s="740"/>
      <c r="CS353" s="740"/>
      <c r="CT353" s="740"/>
      <c r="CU353" s="740"/>
      <c r="CV353" s="740"/>
      <c r="CW353" s="740"/>
      <c r="CX353" s="740"/>
      <c r="CY353" s="740"/>
      <c r="CZ353" s="740"/>
      <c r="DA353" s="740"/>
      <c r="DB353" s="740"/>
      <c r="DC353" s="740"/>
      <c r="DD353" s="740"/>
      <c r="DE353" s="740"/>
      <c r="DF353" s="740"/>
      <c r="DG353" s="740"/>
      <c r="DH353" s="740"/>
      <c r="DI353" s="740"/>
      <c r="DJ353" s="740"/>
      <c r="DK353" s="740"/>
      <c r="DL353" s="740"/>
      <c r="DM353" s="740"/>
      <c r="DN353" s="740"/>
      <c r="DO353" s="740"/>
      <c r="DP353" s="740"/>
      <c r="DQ353" s="740"/>
      <c r="DR353" s="740"/>
      <c r="DS353" s="740"/>
      <c r="DT353" s="740"/>
      <c r="DU353" s="740"/>
      <c r="DV353" s="740"/>
      <c r="DW353" s="740"/>
      <c r="DX353" s="740"/>
      <c r="DY353" s="740"/>
      <c r="DZ353" s="740"/>
      <c r="EA353" s="740"/>
      <c r="EB353" s="740"/>
      <c r="EC353" s="740"/>
      <c r="ED353" s="740"/>
      <c r="EE353" s="740"/>
      <c r="EF353" s="740"/>
      <c r="EG353" s="740"/>
      <c r="EH353" s="740"/>
      <c r="EI353" s="740"/>
      <c r="EJ353" s="740"/>
      <c r="EK353" s="740"/>
      <c r="EL353" s="740"/>
      <c r="EM353" s="740"/>
      <c r="EN353" s="740"/>
      <c r="EO353" s="740"/>
      <c r="EP353" s="740"/>
      <c r="EQ353" s="740"/>
      <c r="ER353" s="740"/>
      <c r="ES353" s="740"/>
      <c r="ET353" s="740"/>
      <c r="EU353" s="740"/>
      <c r="EV353" s="740"/>
      <c r="EW353" s="740"/>
      <c r="EX353" s="740"/>
      <c r="EY353" s="740"/>
      <c r="EZ353" s="740"/>
      <c r="FA353" s="740"/>
      <c r="FB353" s="740"/>
      <c r="FC353" s="740"/>
      <c r="FD353" s="740"/>
      <c r="FE353" s="740"/>
      <c r="FF353" s="740"/>
      <c r="FG353" s="740"/>
      <c r="FH353" s="740"/>
      <c r="FI353" s="740"/>
      <c r="FJ353" s="740"/>
      <c r="FK353" s="740"/>
      <c r="FL353" s="740"/>
      <c r="FM353" s="740"/>
      <c r="FN353" s="740"/>
      <c r="FO353" s="740"/>
      <c r="FP353" s="740"/>
      <c r="FQ353" s="740"/>
      <c r="FR353" s="740"/>
      <c r="FS353" s="740"/>
      <c r="FT353" s="740"/>
      <c r="FU353" s="740"/>
      <c r="FV353" s="740"/>
      <c r="FW353" s="740"/>
      <c r="FX353" s="740"/>
      <c r="FY353" s="740"/>
      <c r="FZ353" s="740"/>
      <c r="GA353" s="740"/>
      <c r="GB353" s="740"/>
      <c r="GC353" s="740"/>
      <c r="GD353" s="740"/>
      <c r="GE353" s="740"/>
      <c r="GF353" s="740"/>
      <c r="GG353" s="740"/>
      <c r="GH353" s="740"/>
      <c r="GI353" s="740"/>
      <c r="GJ353" s="740"/>
      <c r="GK353" s="740"/>
      <c r="GL353" s="740"/>
      <c r="GM353" s="740"/>
      <c r="GN353" s="740"/>
      <c r="GO353" s="740"/>
      <c r="GP353" s="740"/>
      <c r="GQ353" s="740"/>
      <c r="GR353" s="740"/>
      <c r="GS353" s="740"/>
      <c r="GT353" s="740"/>
      <c r="GU353" s="740"/>
      <c r="GV353" s="740"/>
      <c r="GW353" s="740"/>
    </row>
    <row r="354" spans="18:205" ht="24" customHeight="1" x14ac:dyDescent="0.2">
      <c r="R354" s="740"/>
      <c r="S354" s="740"/>
      <c r="T354" s="740"/>
      <c r="U354" s="740"/>
      <c r="V354" s="740"/>
      <c r="W354" s="740"/>
      <c r="X354" s="740"/>
      <c r="Y354" s="740"/>
      <c r="Z354" s="740"/>
      <c r="AA354" s="740"/>
      <c r="AB354" s="740"/>
      <c r="AC354" s="740"/>
      <c r="AD354" s="740"/>
      <c r="AE354" s="740"/>
      <c r="AF354" s="740"/>
      <c r="AG354" s="740"/>
      <c r="AH354" s="740"/>
      <c r="AI354" s="740"/>
      <c r="AJ354" s="740"/>
      <c r="AK354" s="740"/>
      <c r="AL354" s="740"/>
      <c r="AM354" s="740"/>
      <c r="AN354" s="740"/>
      <c r="AO354" s="740"/>
      <c r="AP354" s="740"/>
      <c r="AQ354" s="740"/>
      <c r="AR354" s="740"/>
      <c r="AS354" s="740"/>
      <c r="AT354" s="740"/>
      <c r="AU354" s="740"/>
      <c r="AV354" s="740"/>
      <c r="AW354" s="740"/>
      <c r="AX354" s="740"/>
      <c r="AY354" s="740"/>
      <c r="AZ354" s="740"/>
      <c r="BA354" s="740"/>
      <c r="BB354" s="740"/>
      <c r="BC354" s="740"/>
      <c r="BD354" s="740"/>
      <c r="BE354" s="740"/>
      <c r="BF354" s="740"/>
      <c r="BG354" s="740"/>
      <c r="BH354" s="740"/>
      <c r="BI354" s="740"/>
      <c r="BJ354" s="740"/>
      <c r="BK354" s="740"/>
      <c r="BL354" s="740"/>
      <c r="BM354" s="740"/>
      <c r="BN354" s="740"/>
      <c r="BO354" s="740"/>
      <c r="BP354" s="740"/>
      <c r="BQ354" s="740"/>
      <c r="BR354" s="740"/>
      <c r="BS354" s="740"/>
      <c r="BT354" s="740"/>
      <c r="BU354" s="740"/>
      <c r="BV354" s="740"/>
      <c r="BW354" s="740"/>
      <c r="BX354" s="740"/>
      <c r="BY354" s="740"/>
      <c r="BZ354" s="740"/>
      <c r="CA354" s="740"/>
      <c r="CB354" s="740"/>
      <c r="CC354" s="740"/>
      <c r="CD354" s="740"/>
      <c r="CE354" s="740"/>
      <c r="CF354" s="740"/>
      <c r="CG354" s="740"/>
      <c r="CH354" s="740"/>
      <c r="CI354" s="740"/>
      <c r="CJ354" s="740"/>
      <c r="CK354" s="740"/>
      <c r="CL354" s="740"/>
      <c r="CM354" s="740"/>
      <c r="CN354" s="740"/>
      <c r="CO354" s="740"/>
      <c r="CP354" s="740"/>
      <c r="CQ354" s="740"/>
      <c r="CR354" s="740"/>
      <c r="CS354" s="740"/>
      <c r="CT354" s="740"/>
      <c r="CU354" s="740"/>
      <c r="CV354" s="740"/>
      <c r="CW354" s="740"/>
      <c r="CX354" s="740"/>
      <c r="CY354" s="740"/>
      <c r="CZ354" s="740"/>
      <c r="DA354" s="740"/>
      <c r="DB354" s="740"/>
      <c r="DC354" s="740"/>
      <c r="DD354" s="740"/>
      <c r="DE354" s="740"/>
      <c r="DF354" s="740"/>
      <c r="DG354" s="740"/>
      <c r="DH354" s="740"/>
      <c r="DI354" s="740"/>
      <c r="DJ354" s="740"/>
      <c r="DK354" s="740"/>
      <c r="DL354" s="740"/>
      <c r="DM354" s="740"/>
      <c r="DN354" s="740"/>
      <c r="DO354" s="740"/>
      <c r="DP354" s="740"/>
      <c r="DQ354" s="740"/>
      <c r="DR354" s="740"/>
      <c r="DS354" s="740"/>
      <c r="DT354" s="740"/>
      <c r="DU354" s="740"/>
      <c r="DV354" s="740"/>
      <c r="DW354" s="740"/>
      <c r="DX354" s="740"/>
      <c r="DY354" s="740"/>
      <c r="DZ354" s="740"/>
      <c r="EA354" s="740"/>
      <c r="EB354" s="740"/>
      <c r="EC354" s="740"/>
      <c r="ED354" s="740"/>
      <c r="EE354" s="740"/>
      <c r="EF354" s="740"/>
      <c r="EG354" s="740"/>
      <c r="EH354" s="740"/>
      <c r="EI354" s="740"/>
      <c r="EJ354" s="740"/>
      <c r="EK354" s="740"/>
      <c r="EL354" s="740"/>
      <c r="EM354" s="740"/>
      <c r="EN354" s="740"/>
      <c r="EO354" s="740"/>
      <c r="EP354" s="740"/>
      <c r="EQ354" s="740"/>
      <c r="ER354" s="740"/>
      <c r="ES354" s="740"/>
      <c r="ET354" s="740"/>
      <c r="EU354" s="740"/>
      <c r="EV354" s="740"/>
      <c r="EW354" s="740"/>
      <c r="EX354" s="740"/>
      <c r="EY354" s="740"/>
      <c r="EZ354" s="740"/>
      <c r="FA354" s="740"/>
      <c r="FB354" s="740"/>
      <c r="FC354" s="740"/>
      <c r="FD354" s="740"/>
      <c r="FE354" s="740"/>
      <c r="FF354" s="740"/>
      <c r="FG354" s="740"/>
      <c r="FH354" s="740"/>
      <c r="FI354" s="740"/>
      <c r="FJ354" s="740"/>
      <c r="FK354" s="740"/>
      <c r="FL354" s="740"/>
      <c r="FM354" s="740"/>
      <c r="FN354" s="740"/>
      <c r="FO354" s="740"/>
      <c r="FP354" s="740"/>
      <c r="FQ354" s="740"/>
      <c r="FR354" s="740"/>
      <c r="FS354" s="740"/>
      <c r="FT354" s="740"/>
      <c r="FU354" s="740"/>
      <c r="FV354" s="740"/>
      <c r="FW354" s="740"/>
      <c r="FX354" s="740"/>
      <c r="FY354" s="740"/>
      <c r="FZ354" s="740"/>
      <c r="GA354" s="740"/>
      <c r="GB354" s="740"/>
      <c r="GC354" s="740"/>
      <c r="GD354" s="740"/>
      <c r="GE354" s="740"/>
      <c r="GF354" s="740"/>
      <c r="GG354" s="740"/>
      <c r="GH354" s="740"/>
      <c r="GI354" s="740"/>
      <c r="GJ354" s="740"/>
      <c r="GK354" s="740"/>
      <c r="GL354" s="740"/>
      <c r="GM354" s="740"/>
      <c r="GN354" s="740"/>
      <c r="GO354" s="740"/>
      <c r="GP354" s="740"/>
      <c r="GQ354" s="740"/>
      <c r="GR354" s="740"/>
      <c r="GS354" s="740"/>
      <c r="GT354" s="740"/>
      <c r="GU354" s="740"/>
      <c r="GV354" s="740"/>
      <c r="GW354" s="740"/>
    </row>
    <row r="355" spans="18:205" ht="24" customHeight="1" x14ac:dyDescent="0.2">
      <c r="R355" s="740"/>
      <c r="S355" s="740"/>
      <c r="T355" s="740"/>
      <c r="U355" s="740"/>
      <c r="V355" s="740"/>
      <c r="W355" s="740"/>
      <c r="X355" s="740"/>
      <c r="Y355" s="740"/>
      <c r="Z355" s="740"/>
      <c r="AA355" s="740"/>
      <c r="AB355" s="740"/>
      <c r="AC355" s="740"/>
      <c r="AD355" s="740"/>
      <c r="AE355" s="740"/>
      <c r="AF355" s="740"/>
      <c r="AG355" s="740"/>
      <c r="AH355" s="740"/>
      <c r="AI355" s="740"/>
      <c r="AJ355" s="740"/>
      <c r="AK355" s="740"/>
      <c r="AL355" s="740"/>
      <c r="AM355" s="740"/>
      <c r="AN355" s="740"/>
      <c r="AO355" s="740"/>
      <c r="AP355" s="740"/>
      <c r="AQ355" s="740"/>
      <c r="AR355" s="740"/>
      <c r="AS355" s="740"/>
      <c r="AT355" s="740"/>
      <c r="AU355" s="740"/>
      <c r="AV355" s="740"/>
      <c r="AW355" s="740"/>
      <c r="AX355" s="740"/>
      <c r="AY355" s="740"/>
      <c r="AZ355" s="740"/>
      <c r="BA355" s="740"/>
      <c r="BB355" s="740"/>
      <c r="BC355" s="740"/>
      <c r="BD355" s="740"/>
      <c r="BE355" s="740"/>
      <c r="BF355" s="740"/>
      <c r="BG355" s="740"/>
      <c r="BH355" s="740"/>
      <c r="BI355" s="740"/>
      <c r="BJ355" s="740"/>
      <c r="BK355" s="740"/>
      <c r="BL355" s="740"/>
      <c r="BM355" s="740"/>
      <c r="BN355" s="740"/>
      <c r="BO355" s="740"/>
      <c r="BP355" s="740"/>
      <c r="BQ355" s="740"/>
      <c r="BR355" s="740"/>
      <c r="BS355" s="740"/>
      <c r="BT355" s="740"/>
      <c r="BU355" s="740"/>
      <c r="BV355" s="740"/>
      <c r="BW355" s="740"/>
      <c r="BX355" s="740"/>
      <c r="BY355" s="740"/>
      <c r="BZ355" s="740"/>
      <c r="CA355" s="740"/>
      <c r="CB355" s="740"/>
      <c r="CC355" s="740"/>
      <c r="CD355" s="740"/>
      <c r="CE355" s="740"/>
      <c r="CF355" s="740"/>
      <c r="CG355" s="740"/>
      <c r="CH355" s="740"/>
      <c r="CI355" s="740"/>
      <c r="CJ355" s="740"/>
      <c r="CK355" s="740"/>
      <c r="CL355" s="740"/>
      <c r="CM355" s="740"/>
      <c r="CN355" s="740"/>
      <c r="CO355" s="740"/>
      <c r="CP355" s="740"/>
      <c r="CQ355" s="740"/>
      <c r="CR355" s="740"/>
      <c r="CS355" s="740"/>
      <c r="CT355" s="740"/>
      <c r="CU355" s="740"/>
      <c r="CV355" s="740"/>
      <c r="CW355" s="740"/>
      <c r="CX355" s="740"/>
      <c r="CY355" s="740"/>
      <c r="CZ355" s="740"/>
      <c r="DA355" s="740"/>
      <c r="DB355" s="740"/>
      <c r="DC355" s="740"/>
      <c r="DD355" s="740"/>
      <c r="DE355" s="740"/>
      <c r="DF355" s="740"/>
      <c r="DG355" s="740"/>
      <c r="DH355" s="740"/>
      <c r="DI355" s="740"/>
      <c r="DJ355" s="740"/>
      <c r="DK355" s="740"/>
      <c r="DL355" s="740"/>
      <c r="DM355" s="740"/>
      <c r="DN355" s="740"/>
      <c r="DO355" s="740"/>
      <c r="DP355" s="740"/>
      <c r="DQ355" s="740"/>
      <c r="DR355" s="740"/>
      <c r="DS355" s="740"/>
      <c r="DT355" s="740"/>
      <c r="DU355" s="740"/>
      <c r="DV355" s="740"/>
      <c r="DW355" s="740"/>
      <c r="DX355" s="740"/>
      <c r="DY355" s="740"/>
      <c r="DZ355" s="740"/>
      <c r="EA355" s="740"/>
      <c r="EB355" s="740"/>
      <c r="EC355" s="740"/>
      <c r="ED355" s="740"/>
      <c r="EE355" s="740"/>
      <c r="EF355" s="740"/>
      <c r="EG355" s="740"/>
      <c r="EH355" s="740"/>
      <c r="EI355" s="740"/>
      <c r="EJ355" s="740"/>
      <c r="EK355" s="740"/>
      <c r="EL355" s="740"/>
      <c r="EM355" s="740"/>
      <c r="EN355" s="740"/>
      <c r="EO355" s="740"/>
      <c r="EP355" s="740"/>
      <c r="EQ355" s="740"/>
      <c r="ER355" s="740"/>
      <c r="ES355" s="740"/>
      <c r="ET355" s="740"/>
      <c r="EU355" s="740"/>
      <c r="EV355" s="740"/>
      <c r="EW355" s="740"/>
      <c r="EX355" s="740"/>
      <c r="EY355" s="740"/>
      <c r="EZ355" s="740"/>
      <c r="FA355" s="740"/>
      <c r="FB355" s="740"/>
      <c r="FC355" s="740"/>
      <c r="FD355" s="740"/>
      <c r="FE355" s="740"/>
      <c r="FF355" s="740"/>
      <c r="FG355" s="740"/>
      <c r="FH355" s="740"/>
      <c r="FI355" s="740"/>
      <c r="FJ355" s="740"/>
      <c r="FK355" s="740"/>
      <c r="FL355" s="740"/>
      <c r="FM355" s="740"/>
      <c r="FN355" s="740"/>
      <c r="FO355" s="740"/>
      <c r="FP355" s="740"/>
      <c r="FQ355" s="740"/>
      <c r="FR355" s="740"/>
      <c r="FS355" s="740"/>
      <c r="FT355" s="740"/>
      <c r="FU355" s="740"/>
      <c r="FV355" s="740"/>
      <c r="FW355" s="740"/>
      <c r="FX355" s="740"/>
      <c r="FY355" s="740"/>
      <c r="FZ355" s="740"/>
      <c r="GA355" s="740"/>
      <c r="GB355" s="740"/>
      <c r="GC355" s="740"/>
      <c r="GD355" s="740"/>
      <c r="GE355" s="740"/>
      <c r="GF355" s="740"/>
      <c r="GG355" s="740"/>
      <c r="GH355" s="740"/>
      <c r="GI355" s="740"/>
      <c r="GJ355" s="740"/>
      <c r="GK355" s="740"/>
      <c r="GL355" s="740"/>
      <c r="GM355" s="740"/>
      <c r="GN355" s="740"/>
      <c r="GO355" s="740"/>
      <c r="GP355" s="740"/>
      <c r="GQ355" s="740"/>
      <c r="GR355" s="740"/>
      <c r="GS355" s="740"/>
      <c r="GT355" s="740"/>
      <c r="GU355" s="740"/>
      <c r="GV355" s="740"/>
      <c r="GW355" s="740"/>
    </row>
    <row r="356" spans="18:205" ht="24" customHeight="1" x14ac:dyDescent="0.2">
      <c r="R356" s="740"/>
      <c r="S356" s="740"/>
      <c r="T356" s="740"/>
      <c r="U356" s="740"/>
      <c r="V356" s="740"/>
      <c r="W356" s="740"/>
      <c r="X356" s="740"/>
      <c r="Y356" s="740"/>
      <c r="Z356" s="740"/>
      <c r="AA356" s="740"/>
      <c r="AB356" s="740"/>
      <c r="AC356" s="740"/>
      <c r="AD356" s="740"/>
      <c r="AE356" s="740"/>
      <c r="AF356" s="740"/>
      <c r="AG356" s="740"/>
      <c r="AH356" s="740"/>
      <c r="AI356" s="740"/>
      <c r="AJ356" s="740"/>
      <c r="AK356" s="740"/>
      <c r="AL356" s="740"/>
      <c r="AM356" s="740"/>
      <c r="AN356" s="740"/>
      <c r="AO356" s="740"/>
      <c r="AP356" s="740"/>
      <c r="AQ356" s="740"/>
      <c r="AR356" s="740"/>
      <c r="AS356" s="740"/>
      <c r="AT356" s="740"/>
      <c r="AU356" s="740"/>
      <c r="AV356" s="740"/>
      <c r="AW356" s="740"/>
      <c r="AX356" s="740"/>
      <c r="AY356" s="740"/>
      <c r="AZ356" s="740"/>
      <c r="BA356" s="740"/>
      <c r="BB356" s="740"/>
      <c r="BC356" s="740"/>
      <c r="BD356" s="740"/>
      <c r="BE356" s="740"/>
      <c r="BF356" s="740"/>
      <c r="BG356" s="740"/>
      <c r="BH356" s="740"/>
      <c r="BI356" s="740"/>
      <c r="BJ356" s="740"/>
      <c r="BK356" s="740"/>
      <c r="BL356" s="740"/>
      <c r="BM356" s="740"/>
      <c r="BN356" s="740"/>
      <c r="BO356" s="740"/>
      <c r="BP356" s="740"/>
      <c r="BQ356" s="740"/>
      <c r="BR356" s="740"/>
      <c r="BS356" s="740"/>
      <c r="BT356" s="740"/>
      <c r="BU356" s="740"/>
      <c r="BV356" s="740"/>
      <c r="BW356" s="740"/>
      <c r="BX356" s="740"/>
      <c r="BY356" s="740"/>
      <c r="BZ356" s="740"/>
      <c r="CA356" s="740"/>
      <c r="CB356" s="740"/>
      <c r="CC356" s="740"/>
      <c r="CD356" s="740"/>
      <c r="CE356" s="740"/>
      <c r="CF356" s="740"/>
      <c r="CG356" s="740"/>
      <c r="CH356" s="740"/>
      <c r="CI356" s="740"/>
      <c r="CJ356" s="740"/>
      <c r="CK356" s="740"/>
      <c r="CL356" s="740"/>
      <c r="CM356" s="740"/>
      <c r="CN356" s="740"/>
      <c r="CO356" s="740"/>
      <c r="CP356" s="740"/>
      <c r="CQ356" s="740"/>
      <c r="CR356" s="740"/>
      <c r="CS356" s="740"/>
      <c r="CT356" s="740"/>
      <c r="CU356" s="740"/>
      <c r="CV356" s="740"/>
      <c r="CW356" s="740"/>
      <c r="CX356" s="740"/>
      <c r="CY356" s="740"/>
      <c r="CZ356" s="740"/>
      <c r="DA356" s="740"/>
      <c r="DB356" s="740"/>
      <c r="DC356" s="740"/>
      <c r="DD356" s="740"/>
      <c r="DE356" s="740"/>
      <c r="DF356" s="740"/>
      <c r="DG356" s="740"/>
      <c r="DH356" s="740"/>
      <c r="DI356" s="740"/>
      <c r="DJ356" s="740"/>
      <c r="DK356" s="740"/>
      <c r="DL356" s="740"/>
      <c r="DM356" s="740"/>
      <c r="DN356" s="740"/>
      <c r="DO356" s="740"/>
      <c r="DP356" s="740"/>
      <c r="DQ356" s="740"/>
      <c r="DR356" s="740"/>
      <c r="DS356" s="740"/>
      <c r="DT356" s="740"/>
      <c r="DU356" s="740"/>
      <c r="DV356" s="740"/>
      <c r="DW356" s="740"/>
      <c r="DX356" s="740"/>
      <c r="DY356" s="740"/>
      <c r="DZ356" s="740"/>
      <c r="EA356" s="740"/>
      <c r="EB356" s="740"/>
      <c r="EC356" s="740"/>
      <c r="ED356" s="740"/>
      <c r="EE356" s="740"/>
      <c r="EF356" s="740"/>
      <c r="EG356" s="740"/>
      <c r="EH356" s="740"/>
      <c r="EI356" s="740"/>
      <c r="EJ356" s="740"/>
      <c r="EK356" s="740"/>
      <c r="EL356" s="740"/>
      <c r="EM356" s="740"/>
      <c r="EN356" s="740"/>
      <c r="EO356" s="740"/>
      <c r="EP356" s="740"/>
      <c r="EQ356" s="740"/>
      <c r="ER356" s="740"/>
      <c r="ES356" s="740"/>
      <c r="ET356" s="740"/>
      <c r="EU356" s="740"/>
      <c r="EV356" s="740"/>
      <c r="EW356" s="740"/>
      <c r="EX356" s="740"/>
      <c r="EY356" s="740"/>
      <c r="EZ356" s="740"/>
      <c r="FA356" s="740"/>
      <c r="FB356" s="740"/>
      <c r="FC356" s="740"/>
      <c r="FD356" s="740"/>
      <c r="FE356" s="740"/>
      <c r="FF356" s="740"/>
      <c r="FG356" s="740"/>
      <c r="FH356" s="740"/>
      <c r="FI356" s="740"/>
      <c r="FJ356" s="740"/>
      <c r="FK356" s="740"/>
      <c r="FL356" s="740"/>
      <c r="FM356" s="740"/>
      <c r="FN356" s="740"/>
      <c r="FO356" s="740"/>
      <c r="FP356" s="740"/>
      <c r="FQ356" s="740"/>
      <c r="FR356" s="740"/>
      <c r="FS356" s="740"/>
      <c r="FT356" s="740"/>
      <c r="FU356" s="740"/>
      <c r="FV356" s="740"/>
      <c r="FW356" s="740"/>
      <c r="FX356" s="740"/>
      <c r="FY356" s="740"/>
      <c r="FZ356" s="740"/>
      <c r="GA356" s="740"/>
      <c r="GB356" s="740"/>
      <c r="GC356" s="740"/>
      <c r="GD356" s="740"/>
      <c r="GE356" s="740"/>
      <c r="GF356" s="740"/>
      <c r="GG356" s="740"/>
      <c r="GH356" s="740"/>
      <c r="GI356" s="740"/>
      <c r="GJ356" s="740"/>
      <c r="GK356" s="740"/>
      <c r="GL356" s="740"/>
      <c r="GM356" s="740"/>
      <c r="GN356" s="740"/>
      <c r="GO356" s="740"/>
      <c r="GP356" s="740"/>
      <c r="GQ356" s="740"/>
      <c r="GR356" s="740"/>
      <c r="GS356" s="740"/>
      <c r="GT356" s="740"/>
      <c r="GU356" s="740"/>
      <c r="GV356" s="740"/>
      <c r="GW356" s="740"/>
    </row>
    <row r="357" spans="18:205" ht="24" customHeight="1" x14ac:dyDescent="0.2">
      <c r="R357" s="740"/>
      <c r="S357" s="740"/>
      <c r="T357" s="740"/>
      <c r="U357" s="740"/>
      <c r="V357" s="740"/>
      <c r="W357" s="740"/>
      <c r="X357" s="740"/>
      <c r="Y357" s="740"/>
      <c r="Z357" s="740"/>
      <c r="AA357" s="740"/>
      <c r="AB357" s="740"/>
      <c r="AC357" s="740"/>
      <c r="AD357" s="740"/>
      <c r="AE357" s="740"/>
      <c r="AF357" s="740"/>
      <c r="AG357" s="740"/>
      <c r="AH357" s="740"/>
      <c r="AI357" s="740"/>
      <c r="AJ357" s="740"/>
      <c r="AK357" s="740"/>
      <c r="AL357" s="740"/>
      <c r="AM357" s="740"/>
      <c r="AN357" s="740"/>
      <c r="AO357" s="740"/>
      <c r="AP357" s="740"/>
      <c r="AQ357" s="740"/>
      <c r="AR357" s="740"/>
      <c r="AS357" s="740"/>
      <c r="AT357" s="740"/>
      <c r="AU357" s="740"/>
      <c r="AV357" s="740"/>
      <c r="AW357" s="740"/>
      <c r="AX357" s="740"/>
      <c r="AY357" s="740"/>
      <c r="AZ357" s="740"/>
      <c r="BA357" s="740"/>
      <c r="BB357" s="740"/>
      <c r="BC357" s="740"/>
      <c r="BD357" s="740"/>
      <c r="BE357" s="740"/>
      <c r="BF357" s="740"/>
      <c r="BG357" s="740"/>
      <c r="BH357" s="740"/>
      <c r="BI357" s="740"/>
      <c r="BJ357" s="740"/>
      <c r="BK357" s="740"/>
      <c r="BL357" s="740"/>
      <c r="BM357" s="740"/>
      <c r="BN357" s="740"/>
      <c r="BO357" s="740"/>
      <c r="BP357" s="740"/>
      <c r="BQ357" s="740"/>
      <c r="BR357" s="740"/>
      <c r="BS357" s="740"/>
      <c r="BT357" s="740"/>
      <c r="BU357" s="740"/>
      <c r="BV357" s="740"/>
      <c r="BW357" s="740"/>
      <c r="BX357" s="740"/>
      <c r="BY357" s="740"/>
      <c r="BZ357" s="740"/>
      <c r="CA357" s="740"/>
      <c r="CB357" s="740"/>
      <c r="CC357" s="740"/>
      <c r="CD357" s="740"/>
      <c r="CE357" s="740"/>
      <c r="CF357" s="740"/>
      <c r="CG357" s="740"/>
      <c r="CH357" s="740"/>
      <c r="CI357" s="740"/>
      <c r="CJ357" s="740"/>
      <c r="CK357" s="740"/>
      <c r="CL357" s="740"/>
      <c r="CM357" s="740"/>
      <c r="CN357" s="740"/>
      <c r="CO357" s="740"/>
      <c r="CP357" s="740"/>
      <c r="CQ357" s="740"/>
      <c r="CR357" s="740"/>
      <c r="CS357" s="740"/>
      <c r="CT357" s="740"/>
      <c r="CU357" s="740"/>
      <c r="CV357" s="740"/>
      <c r="CW357" s="740"/>
      <c r="CX357" s="740"/>
      <c r="CY357" s="740"/>
      <c r="CZ357" s="740"/>
      <c r="DA357" s="740"/>
      <c r="DB357" s="740"/>
      <c r="DC357" s="740"/>
      <c r="DD357" s="740"/>
      <c r="DE357" s="740"/>
      <c r="DF357" s="740"/>
      <c r="DG357" s="740"/>
      <c r="DH357" s="740"/>
      <c r="DI357" s="740"/>
      <c r="DJ357" s="740"/>
      <c r="DK357" s="740"/>
      <c r="DL357" s="740"/>
      <c r="DM357" s="740"/>
      <c r="DN357" s="740"/>
      <c r="DO357" s="740"/>
      <c r="DP357" s="740"/>
      <c r="DQ357" s="740"/>
      <c r="DR357" s="740"/>
      <c r="DS357" s="740"/>
      <c r="DT357" s="740"/>
      <c r="DU357" s="740"/>
      <c r="DV357" s="740"/>
      <c r="DW357" s="740"/>
      <c r="DX357" s="740"/>
      <c r="DY357" s="740"/>
      <c r="DZ357" s="740"/>
      <c r="EA357" s="740"/>
      <c r="EB357" s="740"/>
      <c r="EC357" s="740"/>
      <c r="ED357" s="740"/>
      <c r="EE357" s="740"/>
      <c r="EF357" s="740"/>
      <c r="EG357" s="740"/>
      <c r="EH357" s="740"/>
      <c r="EI357" s="740"/>
      <c r="EJ357" s="740"/>
      <c r="EK357" s="740"/>
      <c r="EL357" s="740"/>
      <c r="EM357" s="740"/>
      <c r="EN357" s="740"/>
      <c r="EO357" s="740"/>
      <c r="EP357" s="740"/>
      <c r="EQ357" s="740"/>
      <c r="ER357" s="740"/>
      <c r="ES357" s="740"/>
      <c r="ET357" s="740"/>
      <c r="EU357" s="740"/>
      <c r="EV357" s="740"/>
      <c r="EW357" s="740"/>
      <c r="EX357" s="740"/>
      <c r="EY357" s="740"/>
      <c r="EZ357" s="740"/>
      <c r="FA357" s="740"/>
      <c r="FB357" s="740"/>
      <c r="FC357" s="740"/>
      <c r="FD357" s="740"/>
      <c r="FE357" s="740"/>
      <c r="FF357" s="740"/>
      <c r="FG357" s="740"/>
      <c r="FH357" s="740"/>
      <c r="FI357" s="740"/>
      <c r="FJ357" s="740"/>
      <c r="FK357" s="740"/>
      <c r="FL357" s="740"/>
      <c r="FM357" s="740"/>
      <c r="FN357" s="740"/>
      <c r="FO357" s="740"/>
      <c r="FP357" s="740"/>
      <c r="FQ357" s="740"/>
      <c r="FR357" s="740"/>
      <c r="FS357" s="740"/>
      <c r="FT357" s="740"/>
      <c r="FU357" s="740"/>
      <c r="FV357" s="740"/>
      <c r="FW357" s="740"/>
      <c r="FX357" s="740"/>
      <c r="FY357" s="740"/>
      <c r="FZ357" s="740"/>
      <c r="GA357" s="740"/>
      <c r="GB357" s="740"/>
      <c r="GC357" s="740"/>
      <c r="GD357" s="740"/>
      <c r="GE357" s="740"/>
      <c r="GF357" s="740"/>
      <c r="GG357" s="740"/>
      <c r="GH357" s="740"/>
      <c r="GI357" s="740"/>
      <c r="GJ357" s="740"/>
      <c r="GK357" s="740"/>
      <c r="GL357" s="740"/>
      <c r="GM357" s="740"/>
      <c r="GN357" s="740"/>
      <c r="GO357" s="740"/>
      <c r="GP357" s="740"/>
      <c r="GQ357" s="740"/>
      <c r="GR357" s="740"/>
      <c r="GS357" s="740"/>
      <c r="GT357" s="740"/>
      <c r="GU357" s="740"/>
      <c r="GV357" s="740"/>
      <c r="GW357" s="740"/>
    </row>
    <row r="358" spans="18:205" ht="24" customHeight="1" x14ac:dyDescent="0.2">
      <c r="R358" s="740"/>
      <c r="S358" s="740"/>
      <c r="T358" s="740"/>
      <c r="U358" s="740"/>
      <c r="V358" s="740"/>
      <c r="W358" s="740"/>
      <c r="X358" s="740"/>
      <c r="Y358" s="740"/>
      <c r="Z358" s="740"/>
      <c r="AA358" s="740"/>
      <c r="AB358" s="740"/>
      <c r="AC358" s="740"/>
      <c r="AD358" s="740"/>
      <c r="AE358" s="740"/>
      <c r="AF358" s="740"/>
      <c r="AG358" s="740"/>
      <c r="AH358" s="740"/>
      <c r="AI358" s="740"/>
      <c r="AJ358" s="740"/>
      <c r="AK358" s="740"/>
      <c r="AL358" s="740"/>
      <c r="AM358" s="740"/>
      <c r="AN358" s="740"/>
      <c r="AO358" s="740"/>
      <c r="AP358" s="740"/>
      <c r="AQ358" s="740"/>
      <c r="AR358" s="740"/>
      <c r="AS358" s="740"/>
      <c r="AT358" s="740"/>
      <c r="AU358" s="740"/>
      <c r="AV358" s="740"/>
      <c r="AW358" s="740"/>
      <c r="AX358" s="740"/>
      <c r="AY358" s="740"/>
      <c r="AZ358" s="740"/>
      <c r="BA358" s="740"/>
      <c r="BB358" s="740"/>
      <c r="BC358" s="740"/>
      <c r="BD358" s="740"/>
      <c r="BE358" s="740"/>
      <c r="BF358" s="740"/>
      <c r="BG358" s="740"/>
      <c r="BH358" s="740"/>
      <c r="BI358" s="740"/>
      <c r="BJ358" s="740"/>
      <c r="BK358" s="740"/>
      <c r="BL358" s="740"/>
      <c r="BM358" s="740"/>
      <c r="BN358" s="740"/>
      <c r="BO358" s="740"/>
      <c r="BP358" s="740"/>
      <c r="BQ358" s="740"/>
      <c r="BR358" s="740"/>
      <c r="BS358" s="740"/>
      <c r="BT358" s="740"/>
      <c r="BU358" s="740"/>
      <c r="BV358" s="740"/>
      <c r="BW358" s="740"/>
      <c r="BX358" s="740"/>
      <c r="BY358" s="740"/>
      <c r="BZ358" s="740"/>
      <c r="CA358" s="740"/>
      <c r="CB358" s="740"/>
      <c r="CC358" s="740"/>
      <c r="CD358" s="740"/>
      <c r="CE358" s="740"/>
      <c r="CF358" s="740"/>
      <c r="CG358" s="740"/>
      <c r="CH358" s="740"/>
      <c r="CI358" s="740"/>
      <c r="CJ358" s="740"/>
      <c r="CK358" s="740"/>
      <c r="CL358" s="740"/>
      <c r="CM358" s="740"/>
      <c r="CN358" s="740"/>
      <c r="CO358" s="740"/>
      <c r="CP358" s="740"/>
      <c r="CQ358" s="740"/>
      <c r="CR358" s="740"/>
      <c r="CS358" s="740"/>
      <c r="CT358" s="740"/>
      <c r="CU358" s="740"/>
      <c r="CV358" s="740"/>
      <c r="CW358" s="740"/>
      <c r="CX358" s="740"/>
      <c r="CY358" s="740"/>
      <c r="CZ358" s="740"/>
      <c r="DA358" s="740"/>
      <c r="DB358" s="740"/>
      <c r="DC358" s="740"/>
      <c r="DD358" s="740"/>
      <c r="DE358" s="740"/>
      <c r="DF358" s="740"/>
      <c r="DG358" s="740"/>
      <c r="DH358" s="740"/>
      <c r="DI358" s="740"/>
      <c r="DJ358" s="740"/>
      <c r="DK358" s="740"/>
      <c r="DL358" s="740"/>
      <c r="DM358" s="740"/>
      <c r="DN358" s="740"/>
      <c r="DO358" s="740"/>
      <c r="DP358" s="740"/>
      <c r="DQ358" s="740"/>
      <c r="DR358" s="740"/>
      <c r="DS358" s="740"/>
      <c r="DT358" s="740"/>
      <c r="DU358" s="740"/>
      <c r="DV358" s="740"/>
      <c r="DW358" s="740"/>
      <c r="DX358" s="740"/>
      <c r="DY358" s="740"/>
      <c r="DZ358" s="740"/>
      <c r="EA358" s="740"/>
      <c r="EB358" s="740"/>
      <c r="EC358" s="740"/>
      <c r="ED358" s="740"/>
      <c r="EE358" s="740"/>
      <c r="EF358" s="740"/>
      <c r="EG358" s="740"/>
      <c r="EH358" s="740"/>
      <c r="EI358" s="740"/>
      <c r="EJ358" s="740"/>
      <c r="EK358" s="740"/>
      <c r="EL358" s="740"/>
      <c r="EM358" s="740"/>
      <c r="EN358" s="740"/>
      <c r="EO358" s="740"/>
      <c r="EP358" s="740"/>
      <c r="EQ358" s="740"/>
      <c r="ER358" s="740"/>
      <c r="ES358" s="740"/>
      <c r="ET358" s="740"/>
      <c r="EU358" s="740"/>
      <c r="EV358" s="740"/>
      <c r="EW358" s="740"/>
      <c r="EX358" s="740"/>
      <c r="EY358" s="740"/>
      <c r="EZ358" s="740"/>
      <c r="FA358" s="740"/>
      <c r="FB358" s="740"/>
      <c r="FC358" s="740"/>
      <c r="FD358" s="740"/>
      <c r="FE358" s="740"/>
      <c r="FF358" s="740"/>
      <c r="FG358" s="740"/>
      <c r="FH358" s="740"/>
      <c r="FI358" s="740"/>
      <c r="FJ358" s="740"/>
      <c r="FK358" s="740"/>
      <c r="FL358" s="740"/>
      <c r="FM358" s="740"/>
      <c r="FN358" s="740"/>
      <c r="FO358" s="740"/>
      <c r="FP358" s="740"/>
      <c r="FQ358" s="740"/>
      <c r="FR358" s="740"/>
      <c r="FS358" s="740"/>
      <c r="FT358" s="740"/>
      <c r="FU358" s="740"/>
      <c r="FV358" s="740"/>
      <c r="FW358" s="740"/>
      <c r="FX358" s="740"/>
      <c r="FY358" s="740"/>
      <c r="FZ358" s="740"/>
      <c r="GA358" s="740"/>
      <c r="GB358" s="740"/>
      <c r="GC358" s="740"/>
      <c r="GD358" s="740"/>
      <c r="GE358" s="740"/>
      <c r="GF358" s="740"/>
      <c r="GG358" s="740"/>
      <c r="GH358" s="740"/>
      <c r="GI358" s="740"/>
      <c r="GJ358" s="740"/>
      <c r="GK358" s="740"/>
      <c r="GL358" s="740"/>
      <c r="GM358" s="740"/>
      <c r="GN358" s="740"/>
      <c r="GO358" s="740"/>
      <c r="GP358" s="740"/>
      <c r="GQ358" s="740"/>
      <c r="GR358" s="740"/>
      <c r="GS358" s="740"/>
      <c r="GT358" s="740"/>
      <c r="GU358" s="740"/>
      <c r="GV358" s="740"/>
      <c r="GW358" s="740"/>
    </row>
    <row r="359" spans="18:205" ht="24" customHeight="1" x14ac:dyDescent="0.2">
      <c r="R359" s="740"/>
      <c r="S359" s="740"/>
      <c r="T359" s="740"/>
      <c r="U359" s="740"/>
      <c r="V359" s="740"/>
      <c r="W359" s="740"/>
      <c r="X359" s="740"/>
      <c r="Y359" s="740"/>
      <c r="Z359" s="740"/>
      <c r="AA359" s="740"/>
      <c r="AB359" s="740"/>
      <c r="AC359" s="740"/>
      <c r="AD359" s="740"/>
      <c r="AE359" s="740"/>
      <c r="AF359" s="740"/>
      <c r="AG359" s="740"/>
      <c r="AH359" s="740"/>
      <c r="AI359" s="740"/>
      <c r="AJ359" s="740"/>
      <c r="AK359" s="740"/>
      <c r="AL359" s="740"/>
      <c r="AM359" s="740"/>
      <c r="AN359" s="740"/>
      <c r="AO359" s="740"/>
      <c r="AP359" s="740"/>
      <c r="AQ359" s="740"/>
      <c r="AR359" s="740"/>
      <c r="AS359" s="740"/>
      <c r="AT359" s="740"/>
      <c r="AU359" s="740"/>
      <c r="AV359" s="740"/>
      <c r="AW359" s="740"/>
      <c r="AX359" s="740"/>
      <c r="AY359" s="740"/>
      <c r="AZ359" s="740"/>
      <c r="BA359" s="740"/>
      <c r="BB359" s="740"/>
      <c r="BC359" s="740"/>
      <c r="BD359" s="740"/>
      <c r="BE359" s="740"/>
      <c r="BF359" s="740"/>
      <c r="BG359" s="740"/>
      <c r="BH359" s="740"/>
      <c r="BI359" s="740"/>
      <c r="BJ359" s="740"/>
      <c r="BK359" s="740"/>
      <c r="BL359" s="740"/>
      <c r="BM359" s="740"/>
      <c r="BN359" s="740"/>
      <c r="BO359" s="740"/>
      <c r="BP359" s="740"/>
      <c r="BQ359" s="740"/>
      <c r="BR359" s="740"/>
      <c r="BS359" s="740"/>
      <c r="BT359" s="740"/>
      <c r="BU359" s="740"/>
      <c r="BV359" s="740"/>
      <c r="BW359" s="740"/>
      <c r="BX359" s="740"/>
      <c r="BY359" s="740"/>
      <c r="BZ359" s="740"/>
      <c r="CA359" s="740"/>
      <c r="CB359" s="740"/>
      <c r="CC359" s="740"/>
      <c r="CD359" s="740"/>
      <c r="CE359" s="740"/>
      <c r="CF359" s="740"/>
      <c r="CG359" s="740"/>
      <c r="CH359" s="740"/>
      <c r="CI359" s="740"/>
      <c r="CJ359" s="740"/>
      <c r="CK359" s="740"/>
      <c r="CL359" s="740"/>
      <c r="CM359" s="740"/>
      <c r="CN359" s="740"/>
      <c r="CO359" s="740"/>
      <c r="CP359" s="740"/>
      <c r="CQ359" s="740"/>
      <c r="CR359" s="740"/>
      <c r="CS359" s="740"/>
      <c r="CT359" s="740"/>
      <c r="CU359" s="740"/>
      <c r="CV359" s="740"/>
      <c r="CW359" s="740"/>
      <c r="CX359" s="740"/>
      <c r="CY359" s="740"/>
      <c r="CZ359" s="740"/>
      <c r="DA359" s="740"/>
      <c r="DB359" s="740"/>
      <c r="DC359" s="740"/>
      <c r="DD359" s="740"/>
      <c r="DE359" s="740"/>
      <c r="DF359" s="740"/>
      <c r="DG359" s="740"/>
      <c r="DH359" s="740"/>
      <c r="DI359" s="740"/>
      <c r="DJ359" s="740"/>
      <c r="DK359" s="740"/>
      <c r="DL359" s="740"/>
      <c r="DM359" s="740"/>
      <c r="DN359" s="740"/>
      <c r="DO359" s="740"/>
      <c r="DP359" s="740"/>
      <c r="DQ359" s="740"/>
      <c r="DR359" s="740"/>
      <c r="DS359" s="740"/>
      <c r="DT359" s="740"/>
      <c r="DU359" s="740"/>
      <c r="DV359" s="740"/>
      <c r="DW359" s="740"/>
      <c r="DX359" s="740"/>
      <c r="DY359" s="740"/>
      <c r="DZ359" s="740"/>
      <c r="EA359" s="740"/>
      <c r="EB359" s="740"/>
      <c r="EC359" s="740"/>
      <c r="ED359" s="740"/>
      <c r="EE359" s="740"/>
      <c r="EF359" s="740"/>
      <c r="EG359" s="740"/>
      <c r="EH359" s="740"/>
      <c r="EI359" s="740"/>
      <c r="EJ359" s="740"/>
      <c r="EK359" s="740"/>
      <c r="EL359" s="740"/>
      <c r="EM359" s="740"/>
      <c r="EN359" s="740"/>
      <c r="EO359" s="740"/>
      <c r="EP359" s="740"/>
      <c r="EQ359" s="740"/>
      <c r="ER359" s="740"/>
      <c r="ES359" s="740"/>
      <c r="ET359" s="740"/>
      <c r="EU359" s="740"/>
      <c r="EV359" s="740"/>
      <c r="EW359" s="740"/>
      <c r="EX359" s="740"/>
      <c r="EY359" s="740"/>
      <c r="EZ359" s="740"/>
      <c r="FA359" s="740"/>
      <c r="FB359" s="740"/>
      <c r="FC359" s="740"/>
      <c r="FD359" s="740"/>
      <c r="FE359" s="740"/>
      <c r="FF359" s="740"/>
      <c r="FG359" s="740"/>
      <c r="FH359" s="740"/>
      <c r="FI359" s="740"/>
      <c r="FJ359" s="740"/>
      <c r="FK359" s="740"/>
      <c r="FL359" s="740"/>
      <c r="FM359" s="740"/>
      <c r="FN359" s="740"/>
      <c r="FO359" s="740"/>
      <c r="FP359" s="740"/>
      <c r="FQ359" s="740"/>
      <c r="FR359" s="740"/>
      <c r="FS359" s="740"/>
      <c r="FT359" s="740"/>
      <c r="FU359" s="740"/>
      <c r="FV359" s="740"/>
      <c r="FW359" s="740"/>
      <c r="FX359" s="740"/>
      <c r="FY359" s="740"/>
      <c r="FZ359" s="740"/>
      <c r="GA359" s="740"/>
      <c r="GB359" s="740"/>
      <c r="GC359" s="740"/>
      <c r="GD359" s="740"/>
      <c r="GE359" s="740"/>
      <c r="GF359" s="740"/>
      <c r="GG359" s="740"/>
      <c r="GH359" s="740"/>
      <c r="GI359" s="740"/>
      <c r="GJ359" s="740"/>
      <c r="GK359" s="740"/>
      <c r="GL359" s="740"/>
      <c r="GM359" s="740"/>
      <c r="GN359" s="740"/>
      <c r="GO359" s="740"/>
      <c r="GP359" s="740"/>
      <c r="GQ359" s="740"/>
      <c r="GR359" s="740"/>
      <c r="GS359" s="740"/>
      <c r="GT359" s="740"/>
      <c r="GU359" s="740"/>
      <c r="GV359" s="740"/>
      <c r="GW359" s="740"/>
    </row>
    <row r="360" spans="18:205" ht="24" customHeight="1" x14ac:dyDescent="0.2">
      <c r="R360" s="740"/>
      <c r="S360" s="740"/>
      <c r="T360" s="740"/>
      <c r="U360" s="740"/>
      <c r="V360" s="740"/>
      <c r="W360" s="740"/>
      <c r="X360" s="740"/>
      <c r="Y360" s="740"/>
      <c r="Z360" s="740"/>
      <c r="AA360" s="740"/>
      <c r="AB360" s="740"/>
      <c r="AC360" s="740"/>
      <c r="AD360" s="740"/>
      <c r="AE360" s="740"/>
      <c r="AF360" s="740"/>
      <c r="AG360" s="740"/>
      <c r="AH360" s="740"/>
      <c r="AI360" s="740"/>
      <c r="AJ360" s="740"/>
      <c r="AK360" s="740"/>
      <c r="AL360" s="740"/>
      <c r="AM360" s="740"/>
      <c r="AN360" s="740"/>
      <c r="AO360" s="740"/>
      <c r="AP360" s="740"/>
      <c r="AQ360" s="740"/>
      <c r="AR360" s="740"/>
      <c r="AS360" s="740"/>
      <c r="AT360" s="740"/>
      <c r="AU360" s="740"/>
      <c r="AV360" s="740"/>
      <c r="AW360" s="740"/>
      <c r="AX360" s="740"/>
      <c r="AY360" s="740"/>
      <c r="AZ360" s="740"/>
      <c r="BA360" s="740"/>
      <c r="BB360" s="740"/>
      <c r="BC360" s="740"/>
      <c r="BD360" s="740"/>
      <c r="BE360" s="740"/>
      <c r="BF360" s="740"/>
      <c r="BG360" s="740"/>
      <c r="BH360" s="740"/>
      <c r="BI360" s="740"/>
      <c r="BJ360" s="740"/>
      <c r="BK360" s="740"/>
      <c r="BL360" s="740"/>
      <c r="BM360" s="740"/>
      <c r="BN360" s="740"/>
      <c r="BO360" s="740"/>
      <c r="BP360" s="740"/>
      <c r="BQ360" s="740"/>
      <c r="BR360" s="740"/>
      <c r="BS360" s="740"/>
      <c r="BT360" s="740"/>
      <c r="BU360" s="740"/>
      <c r="BV360" s="740"/>
      <c r="BW360" s="740"/>
      <c r="BX360" s="740"/>
      <c r="BY360" s="740"/>
      <c r="BZ360" s="740"/>
      <c r="CA360" s="740"/>
      <c r="CB360" s="740"/>
      <c r="CC360" s="740"/>
      <c r="CD360" s="740"/>
      <c r="CE360" s="740"/>
      <c r="CF360" s="740"/>
      <c r="CG360" s="740"/>
      <c r="CH360" s="740"/>
      <c r="CI360" s="740"/>
      <c r="CJ360" s="740"/>
      <c r="CK360" s="740"/>
      <c r="CL360" s="740"/>
      <c r="CM360" s="740"/>
      <c r="CN360" s="740"/>
      <c r="CO360" s="740"/>
      <c r="CP360" s="740"/>
      <c r="CQ360" s="740"/>
      <c r="CR360" s="740"/>
      <c r="CS360" s="740"/>
      <c r="CT360" s="740"/>
      <c r="CU360" s="740"/>
      <c r="CV360" s="740"/>
      <c r="CW360" s="740"/>
      <c r="CX360" s="740"/>
      <c r="CY360" s="740"/>
      <c r="CZ360" s="740"/>
      <c r="DA360" s="740"/>
      <c r="DB360" s="740"/>
      <c r="DC360" s="740"/>
      <c r="DD360" s="740"/>
      <c r="DE360" s="740"/>
      <c r="DF360" s="740"/>
      <c r="DG360" s="740"/>
      <c r="DH360" s="740"/>
      <c r="DI360" s="740"/>
      <c r="DJ360" s="740"/>
      <c r="DK360" s="740"/>
      <c r="DL360" s="740"/>
      <c r="DM360" s="740"/>
      <c r="DN360" s="740"/>
      <c r="DO360" s="740"/>
      <c r="DP360" s="740"/>
      <c r="DQ360" s="740"/>
      <c r="DR360" s="740"/>
      <c r="DS360" s="740"/>
      <c r="DT360" s="740"/>
      <c r="DU360" s="740"/>
      <c r="DV360" s="740"/>
      <c r="DW360" s="740"/>
      <c r="DX360" s="740"/>
      <c r="DY360" s="740"/>
      <c r="DZ360" s="740"/>
      <c r="EA360" s="740"/>
      <c r="EB360" s="740"/>
      <c r="EC360" s="740"/>
      <c r="ED360" s="740"/>
      <c r="EE360" s="740"/>
      <c r="EF360" s="740"/>
      <c r="EG360" s="740"/>
      <c r="EH360" s="740"/>
      <c r="EI360" s="740"/>
      <c r="EJ360" s="740"/>
      <c r="EK360" s="740"/>
      <c r="EL360" s="740"/>
      <c r="EM360" s="740"/>
      <c r="EN360" s="740"/>
      <c r="EO360" s="740"/>
      <c r="EP360" s="740"/>
      <c r="EQ360" s="740"/>
      <c r="ER360" s="740"/>
      <c r="ES360" s="740"/>
      <c r="ET360" s="740"/>
      <c r="EU360" s="740"/>
      <c r="EV360" s="740"/>
      <c r="EW360" s="740"/>
      <c r="EX360" s="740"/>
      <c r="EY360" s="740"/>
      <c r="EZ360" s="740"/>
      <c r="FA360" s="740"/>
      <c r="FB360" s="740"/>
      <c r="FC360" s="740"/>
      <c r="FD360" s="740"/>
      <c r="FE360" s="740"/>
      <c r="FF360" s="740"/>
      <c r="FG360" s="740"/>
      <c r="FH360" s="740"/>
      <c r="FI360" s="740"/>
      <c r="FJ360" s="740"/>
      <c r="FK360" s="740"/>
      <c r="FL360" s="740"/>
      <c r="FM360" s="740"/>
      <c r="FN360" s="740"/>
      <c r="FO360" s="740"/>
      <c r="FP360" s="740"/>
      <c r="FQ360" s="740"/>
      <c r="FR360" s="740"/>
      <c r="FS360" s="740"/>
      <c r="FT360" s="740"/>
      <c r="FU360" s="740"/>
      <c r="FV360" s="740"/>
      <c r="FW360" s="740"/>
      <c r="FX360" s="740"/>
      <c r="FY360" s="740"/>
      <c r="FZ360" s="740"/>
      <c r="GA360" s="740"/>
      <c r="GB360" s="740"/>
      <c r="GC360" s="740"/>
      <c r="GD360" s="740"/>
      <c r="GE360" s="740"/>
      <c r="GF360" s="740"/>
      <c r="GG360" s="740"/>
      <c r="GH360" s="740"/>
      <c r="GI360" s="740"/>
      <c r="GJ360" s="740"/>
      <c r="GK360" s="740"/>
      <c r="GL360" s="740"/>
      <c r="GM360" s="740"/>
      <c r="GN360" s="740"/>
      <c r="GO360" s="740"/>
      <c r="GP360" s="740"/>
      <c r="GQ360" s="740"/>
      <c r="GR360" s="740"/>
      <c r="GS360" s="740"/>
      <c r="GT360" s="740"/>
      <c r="GU360" s="740"/>
      <c r="GV360" s="740"/>
      <c r="GW360" s="740"/>
    </row>
    <row r="361" spans="18:205" ht="24" customHeight="1" x14ac:dyDescent="0.2">
      <c r="R361" s="740"/>
      <c r="S361" s="740"/>
      <c r="T361" s="740"/>
      <c r="U361" s="740"/>
      <c r="V361" s="740"/>
      <c r="W361" s="740"/>
      <c r="X361" s="740"/>
      <c r="Y361" s="740"/>
      <c r="Z361" s="740"/>
      <c r="AA361" s="740"/>
      <c r="AB361" s="740"/>
      <c r="AC361" s="740"/>
      <c r="AD361" s="740"/>
      <c r="AE361" s="740"/>
      <c r="AF361" s="740"/>
      <c r="AG361" s="740"/>
      <c r="AH361" s="740"/>
      <c r="AI361" s="740"/>
      <c r="AJ361" s="740"/>
      <c r="AK361" s="740"/>
      <c r="AL361" s="740"/>
      <c r="AM361" s="740"/>
      <c r="AN361" s="740"/>
      <c r="AO361" s="740"/>
      <c r="AP361" s="740"/>
      <c r="AQ361" s="740"/>
      <c r="AR361" s="740"/>
      <c r="AS361" s="740"/>
      <c r="AT361" s="740"/>
      <c r="AU361" s="740"/>
      <c r="AV361" s="740"/>
      <c r="AW361" s="740"/>
      <c r="AX361" s="740"/>
      <c r="AY361" s="740"/>
      <c r="AZ361" s="740"/>
      <c r="BA361" s="740"/>
      <c r="BB361" s="740"/>
      <c r="BC361" s="740"/>
      <c r="BD361" s="740"/>
      <c r="BE361" s="740"/>
      <c r="BF361" s="740"/>
      <c r="BG361" s="740"/>
      <c r="BH361" s="740"/>
      <c r="BI361" s="740"/>
      <c r="BJ361" s="740"/>
      <c r="BK361" s="740"/>
      <c r="BL361" s="740"/>
      <c r="BM361" s="740"/>
      <c r="BN361" s="740"/>
      <c r="BO361" s="740"/>
      <c r="BP361" s="740"/>
      <c r="BQ361" s="740"/>
      <c r="BR361" s="740"/>
      <c r="BS361" s="740"/>
      <c r="BT361" s="740"/>
      <c r="BU361" s="740"/>
      <c r="BV361" s="740"/>
      <c r="BW361" s="740"/>
      <c r="BX361" s="740"/>
      <c r="BY361" s="740"/>
      <c r="BZ361" s="740"/>
      <c r="CA361" s="740"/>
      <c r="CB361" s="740"/>
      <c r="CC361" s="740"/>
      <c r="CD361" s="740"/>
      <c r="CE361" s="740"/>
      <c r="CF361" s="740"/>
      <c r="CG361" s="740"/>
      <c r="CH361" s="740"/>
      <c r="CI361" s="740"/>
      <c r="CJ361" s="740"/>
      <c r="CK361" s="740"/>
      <c r="CL361" s="740"/>
      <c r="CM361" s="740"/>
      <c r="CN361" s="740"/>
      <c r="CO361" s="740"/>
      <c r="CP361" s="740"/>
      <c r="CQ361" s="740"/>
      <c r="CR361" s="740"/>
      <c r="CS361" s="740"/>
      <c r="CT361" s="740"/>
      <c r="CU361" s="740"/>
      <c r="CV361" s="740"/>
      <c r="CW361" s="740"/>
      <c r="CX361" s="740"/>
      <c r="CY361" s="740"/>
      <c r="CZ361" s="740"/>
      <c r="DA361" s="740"/>
      <c r="DB361" s="740"/>
      <c r="DC361" s="740"/>
      <c r="DD361" s="740"/>
      <c r="DE361" s="740"/>
      <c r="DF361" s="740"/>
      <c r="DG361" s="740"/>
      <c r="DH361" s="740"/>
      <c r="DI361" s="740"/>
      <c r="DJ361" s="740"/>
      <c r="DK361" s="740"/>
      <c r="DL361" s="740"/>
      <c r="DM361" s="740"/>
      <c r="DN361" s="740"/>
      <c r="DO361" s="740"/>
      <c r="DP361" s="740"/>
      <c r="DQ361" s="740"/>
      <c r="DR361" s="740"/>
      <c r="DS361" s="740"/>
      <c r="DT361" s="740"/>
      <c r="DU361" s="740"/>
      <c r="DV361" s="740"/>
      <c r="DW361" s="740"/>
      <c r="DX361" s="740"/>
      <c r="DY361" s="740"/>
      <c r="DZ361" s="740"/>
      <c r="EA361" s="740"/>
      <c r="EB361" s="740"/>
      <c r="EC361" s="740"/>
      <c r="ED361" s="740"/>
      <c r="EE361" s="740"/>
      <c r="EF361" s="740"/>
      <c r="EG361" s="740"/>
      <c r="EH361" s="740"/>
      <c r="EI361" s="740"/>
      <c r="EJ361" s="740"/>
      <c r="EK361" s="740"/>
      <c r="EL361" s="740"/>
      <c r="EM361" s="740"/>
      <c r="EN361" s="740"/>
      <c r="EO361" s="740"/>
      <c r="EP361" s="740"/>
      <c r="EQ361" s="740"/>
      <c r="ER361" s="740"/>
      <c r="ES361" s="740"/>
      <c r="ET361" s="740"/>
      <c r="EU361" s="740"/>
      <c r="EV361" s="740"/>
      <c r="EW361" s="740"/>
      <c r="EX361" s="740"/>
      <c r="EY361" s="740"/>
      <c r="EZ361" s="740"/>
      <c r="FA361" s="740"/>
      <c r="FB361" s="740"/>
      <c r="FC361" s="740"/>
      <c r="FD361" s="740"/>
      <c r="FE361" s="740"/>
      <c r="FF361" s="740"/>
      <c r="FG361" s="740"/>
      <c r="FH361" s="740"/>
      <c r="FI361" s="740"/>
      <c r="FJ361" s="740"/>
      <c r="FK361" s="740"/>
      <c r="FL361" s="740"/>
      <c r="FM361" s="740"/>
      <c r="FN361" s="740"/>
      <c r="FO361" s="740"/>
      <c r="FP361" s="740"/>
      <c r="FQ361" s="740"/>
      <c r="FR361" s="740"/>
      <c r="FS361" s="740"/>
      <c r="FT361" s="740"/>
      <c r="FU361" s="740"/>
      <c r="FV361" s="740"/>
      <c r="FW361" s="740"/>
      <c r="FX361" s="740"/>
      <c r="FY361" s="740"/>
      <c r="FZ361" s="740"/>
      <c r="GA361" s="740"/>
      <c r="GB361" s="740"/>
      <c r="GC361" s="740"/>
      <c r="GD361" s="740"/>
      <c r="GE361" s="740"/>
      <c r="GF361" s="740"/>
      <c r="GG361" s="740"/>
      <c r="GH361" s="740"/>
      <c r="GI361" s="740"/>
      <c r="GJ361" s="740"/>
      <c r="GK361" s="740"/>
      <c r="GL361" s="740"/>
      <c r="GM361" s="740"/>
      <c r="GN361" s="740"/>
      <c r="GO361" s="740"/>
      <c r="GP361" s="740"/>
      <c r="GQ361" s="740"/>
      <c r="GR361" s="740"/>
      <c r="GS361" s="740"/>
      <c r="GT361" s="740"/>
      <c r="GU361" s="740"/>
      <c r="GV361" s="740"/>
      <c r="GW361" s="740"/>
    </row>
    <row r="362" spans="18:205" ht="24" customHeight="1" x14ac:dyDescent="0.2">
      <c r="R362" s="740"/>
      <c r="S362" s="740"/>
      <c r="T362" s="740"/>
      <c r="U362" s="740"/>
      <c r="V362" s="740"/>
      <c r="W362" s="740"/>
      <c r="X362" s="740"/>
      <c r="Y362" s="740"/>
      <c r="Z362" s="740"/>
      <c r="AA362" s="740"/>
      <c r="AB362" s="740"/>
      <c r="AC362" s="740"/>
      <c r="AD362" s="740"/>
      <c r="AE362" s="740"/>
      <c r="AF362" s="740"/>
      <c r="AG362" s="740"/>
      <c r="AH362" s="740"/>
      <c r="AI362" s="740"/>
      <c r="AJ362" s="740"/>
      <c r="AK362" s="740"/>
      <c r="AL362" s="740"/>
      <c r="AM362" s="740"/>
      <c r="AN362" s="740"/>
      <c r="AO362" s="740"/>
      <c r="AP362" s="740"/>
      <c r="AQ362" s="740"/>
      <c r="AR362" s="740"/>
      <c r="AS362" s="740"/>
      <c r="AT362" s="740"/>
      <c r="AU362" s="740"/>
      <c r="AV362" s="740"/>
      <c r="AW362" s="740"/>
      <c r="AX362" s="740"/>
      <c r="AY362" s="740"/>
      <c r="AZ362" s="740"/>
      <c r="BA362" s="740"/>
      <c r="BB362" s="740"/>
      <c r="BC362" s="740"/>
      <c r="BD362" s="740"/>
      <c r="BE362" s="740"/>
      <c r="BF362" s="740"/>
      <c r="BG362" s="740"/>
      <c r="BH362" s="740"/>
      <c r="BI362" s="740"/>
      <c r="BJ362" s="740"/>
      <c r="BK362" s="740"/>
      <c r="BL362" s="740"/>
      <c r="BM362" s="740"/>
      <c r="BN362" s="740"/>
      <c r="BO362" s="740"/>
      <c r="BP362" s="740"/>
      <c r="BQ362" s="740"/>
      <c r="BR362" s="740"/>
      <c r="BS362" s="740"/>
      <c r="BT362" s="740"/>
      <c r="BU362" s="740"/>
      <c r="BV362" s="740"/>
      <c r="BW362" s="740"/>
      <c r="BX362" s="740"/>
      <c r="BY362" s="740"/>
      <c r="BZ362" s="740"/>
      <c r="CA362" s="740"/>
      <c r="CB362" s="740"/>
      <c r="CC362" s="740"/>
      <c r="CD362" s="740"/>
      <c r="CE362" s="740"/>
      <c r="CF362" s="740"/>
      <c r="CG362" s="740"/>
      <c r="CH362" s="740"/>
      <c r="CI362" s="740"/>
      <c r="CJ362" s="740"/>
      <c r="CK362" s="740"/>
      <c r="CL362" s="740"/>
      <c r="CM362" s="740"/>
      <c r="CN362" s="740"/>
      <c r="CO362" s="740"/>
      <c r="CP362" s="740"/>
      <c r="CQ362" s="740"/>
      <c r="CR362" s="740"/>
      <c r="CS362" s="740"/>
      <c r="CT362" s="740"/>
      <c r="CU362" s="740"/>
      <c r="CV362" s="740"/>
      <c r="CW362" s="740"/>
      <c r="CX362" s="740"/>
      <c r="CY362" s="740"/>
      <c r="CZ362" s="740"/>
      <c r="DA362" s="740"/>
      <c r="DB362" s="740"/>
      <c r="DC362" s="740"/>
      <c r="DD362" s="740"/>
      <c r="DE362" s="740"/>
      <c r="DF362" s="740"/>
      <c r="DG362" s="740"/>
      <c r="DH362" s="740"/>
      <c r="DI362" s="740"/>
      <c r="DJ362" s="740"/>
      <c r="DK362" s="740"/>
      <c r="DL362" s="740"/>
      <c r="DM362" s="740"/>
      <c r="DN362" s="740"/>
      <c r="DO362" s="740"/>
      <c r="DP362" s="740"/>
      <c r="DQ362" s="740"/>
      <c r="DR362" s="740"/>
      <c r="DS362" s="740"/>
      <c r="DT362" s="740"/>
      <c r="DU362" s="740"/>
      <c r="DV362" s="740"/>
      <c r="DW362" s="740"/>
      <c r="DX362" s="740"/>
      <c r="DY362" s="740"/>
      <c r="DZ362" s="740"/>
      <c r="EA362" s="740"/>
      <c r="EB362" s="740"/>
      <c r="EC362" s="740"/>
      <c r="ED362" s="740"/>
      <c r="EE362" s="740"/>
      <c r="EF362" s="740"/>
      <c r="EG362" s="740"/>
      <c r="EH362" s="740"/>
      <c r="EI362" s="740"/>
      <c r="EJ362" s="740"/>
      <c r="EK362" s="740"/>
      <c r="EL362" s="740"/>
      <c r="EM362" s="740"/>
      <c r="EN362" s="740"/>
      <c r="EO362" s="740"/>
      <c r="EP362" s="740"/>
      <c r="EQ362" s="740"/>
      <c r="ER362" s="740"/>
      <c r="ES362" s="740"/>
      <c r="ET362" s="740"/>
      <c r="EU362" s="740"/>
      <c r="EV362" s="740"/>
      <c r="EW362" s="740"/>
      <c r="EX362" s="740"/>
      <c r="EY362" s="740"/>
      <c r="EZ362" s="740"/>
      <c r="FA362" s="740"/>
      <c r="FB362" s="740"/>
      <c r="FC362" s="740"/>
      <c r="FD362" s="740"/>
      <c r="FE362" s="740"/>
      <c r="FF362" s="740"/>
      <c r="FG362" s="740"/>
      <c r="FH362" s="740"/>
      <c r="FI362" s="740"/>
      <c r="FJ362" s="740"/>
      <c r="FK362" s="740"/>
      <c r="FL362" s="740"/>
      <c r="FM362" s="740"/>
      <c r="FN362" s="740"/>
      <c r="FO362" s="740"/>
      <c r="FP362" s="740"/>
      <c r="FQ362" s="740"/>
      <c r="FR362" s="740"/>
      <c r="FS362" s="740"/>
      <c r="FT362" s="740"/>
      <c r="FU362" s="740"/>
      <c r="FV362" s="740"/>
      <c r="FW362" s="740"/>
      <c r="FX362" s="740"/>
      <c r="FY362" s="740"/>
      <c r="FZ362" s="740"/>
      <c r="GA362" s="740"/>
      <c r="GB362" s="740"/>
      <c r="GC362" s="740"/>
      <c r="GD362" s="740"/>
      <c r="GE362" s="740"/>
      <c r="GF362" s="740"/>
      <c r="GG362" s="740"/>
      <c r="GH362" s="740"/>
      <c r="GI362" s="740"/>
      <c r="GJ362" s="740"/>
      <c r="GK362" s="740"/>
      <c r="GL362" s="740"/>
      <c r="GM362" s="740"/>
      <c r="GN362" s="740"/>
      <c r="GO362" s="740"/>
      <c r="GP362" s="740"/>
      <c r="GQ362" s="740"/>
      <c r="GR362" s="740"/>
      <c r="GS362" s="740"/>
      <c r="GT362" s="740"/>
      <c r="GU362" s="740"/>
      <c r="GV362" s="740"/>
      <c r="GW362" s="740"/>
    </row>
    <row r="363" spans="18:205" ht="24" customHeight="1" x14ac:dyDescent="0.2">
      <c r="R363" s="740"/>
      <c r="S363" s="740"/>
      <c r="T363" s="740"/>
      <c r="U363" s="740"/>
      <c r="V363" s="740"/>
      <c r="W363" s="740"/>
      <c r="X363" s="740"/>
      <c r="Y363" s="740"/>
      <c r="Z363" s="740"/>
      <c r="AA363" s="740"/>
      <c r="AB363" s="740"/>
      <c r="AC363" s="740"/>
      <c r="AD363" s="740"/>
      <c r="AE363" s="740"/>
      <c r="AF363" s="740"/>
      <c r="AG363" s="740"/>
      <c r="AH363" s="740"/>
      <c r="AI363" s="740"/>
      <c r="AJ363" s="740"/>
      <c r="AK363" s="740"/>
      <c r="AL363" s="740"/>
      <c r="AM363" s="740"/>
      <c r="AN363" s="740"/>
      <c r="AO363" s="740"/>
      <c r="AP363" s="740"/>
      <c r="AQ363" s="740"/>
      <c r="AR363" s="740"/>
      <c r="AS363" s="740"/>
      <c r="AT363" s="740"/>
      <c r="AU363" s="740"/>
      <c r="AV363" s="740"/>
      <c r="AW363" s="740"/>
      <c r="AX363" s="740"/>
      <c r="AY363" s="740"/>
      <c r="AZ363" s="740"/>
      <c r="BA363" s="740"/>
      <c r="BB363" s="740"/>
      <c r="BC363" s="740"/>
      <c r="BD363" s="740"/>
      <c r="BE363" s="740"/>
      <c r="BF363" s="740"/>
      <c r="BG363" s="740"/>
      <c r="BH363" s="740"/>
      <c r="BI363" s="740"/>
      <c r="BJ363" s="740"/>
      <c r="BK363" s="740"/>
      <c r="BL363" s="740"/>
      <c r="BM363" s="740"/>
      <c r="BN363" s="740"/>
      <c r="BO363" s="740"/>
      <c r="BP363" s="740"/>
      <c r="BQ363" s="740"/>
      <c r="BR363" s="740"/>
      <c r="BS363" s="740"/>
      <c r="BT363" s="740"/>
      <c r="BU363" s="740"/>
      <c r="BV363" s="740"/>
      <c r="BW363" s="740"/>
      <c r="BX363" s="740"/>
      <c r="BY363" s="740"/>
      <c r="BZ363" s="740"/>
      <c r="CA363" s="740"/>
      <c r="CB363" s="740"/>
      <c r="CC363" s="740"/>
      <c r="CD363" s="740"/>
      <c r="CE363" s="740"/>
      <c r="CF363" s="740"/>
      <c r="CG363" s="740"/>
      <c r="CH363" s="740"/>
      <c r="CI363" s="740"/>
      <c r="CJ363" s="740"/>
      <c r="CK363" s="740"/>
      <c r="CL363" s="740"/>
      <c r="CM363" s="740"/>
      <c r="CN363" s="740"/>
      <c r="CO363" s="740"/>
      <c r="CP363" s="740"/>
      <c r="CQ363" s="740"/>
      <c r="CR363" s="740"/>
      <c r="CS363" s="740"/>
      <c r="CT363" s="740"/>
      <c r="CU363" s="740"/>
      <c r="CV363" s="740"/>
      <c r="CW363" s="740"/>
      <c r="CX363" s="740"/>
      <c r="CY363" s="740"/>
      <c r="CZ363" s="740"/>
      <c r="DA363" s="740"/>
      <c r="DB363" s="740"/>
      <c r="DC363" s="740"/>
      <c r="DD363" s="740"/>
      <c r="DE363" s="740"/>
      <c r="DF363" s="740"/>
      <c r="DG363" s="740"/>
      <c r="DH363" s="740"/>
      <c r="DI363" s="740"/>
      <c r="DJ363" s="740"/>
      <c r="DK363" s="740"/>
      <c r="DL363" s="740"/>
      <c r="DM363" s="740"/>
      <c r="DN363" s="740"/>
      <c r="DO363" s="740"/>
      <c r="DP363" s="740"/>
      <c r="DQ363" s="740"/>
      <c r="DR363" s="740"/>
      <c r="DS363" s="740"/>
      <c r="DT363" s="740"/>
      <c r="DU363" s="740"/>
      <c r="DV363" s="740"/>
      <c r="DW363" s="740"/>
      <c r="DX363" s="740"/>
      <c r="DY363" s="740"/>
      <c r="DZ363" s="740"/>
      <c r="EA363" s="740"/>
      <c r="EB363" s="740"/>
      <c r="EC363" s="740"/>
      <c r="ED363" s="740"/>
      <c r="EE363" s="740"/>
      <c r="EF363" s="740"/>
      <c r="EG363" s="740"/>
      <c r="EH363" s="740"/>
      <c r="EI363" s="740"/>
      <c r="EJ363" s="740"/>
      <c r="EK363" s="740"/>
      <c r="EL363" s="740"/>
      <c r="EM363" s="740"/>
      <c r="EN363" s="740"/>
      <c r="EO363" s="740"/>
      <c r="EP363" s="740"/>
      <c r="EQ363" s="740"/>
      <c r="ER363" s="740"/>
      <c r="ES363" s="740"/>
      <c r="ET363" s="740"/>
      <c r="EU363" s="740"/>
      <c r="EV363" s="740"/>
      <c r="EW363" s="740"/>
      <c r="EX363" s="740"/>
      <c r="EY363" s="740"/>
      <c r="EZ363" s="740"/>
      <c r="FA363" s="740"/>
      <c r="FB363" s="740"/>
      <c r="FC363" s="740"/>
      <c r="FD363" s="740"/>
      <c r="FE363" s="740"/>
      <c r="FF363" s="740"/>
      <c r="FG363" s="740"/>
      <c r="FH363" s="740"/>
      <c r="FI363" s="740"/>
      <c r="FJ363" s="740"/>
      <c r="FK363" s="740"/>
      <c r="FL363" s="740"/>
      <c r="FM363" s="740"/>
      <c r="FN363" s="740"/>
      <c r="FO363" s="740"/>
      <c r="FP363" s="740"/>
      <c r="FQ363" s="740"/>
      <c r="FR363" s="740"/>
      <c r="FS363" s="740"/>
      <c r="FT363" s="740"/>
      <c r="FU363" s="740"/>
      <c r="FV363" s="740"/>
      <c r="FW363" s="740"/>
      <c r="FX363" s="740"/>
      <c r="FY363" s="740"/>
      <c r="FZ363" s="740"/>
      <c r="GA363" s="740"/>
      <c r="GB363" s="740"/>
      <c r="GC363" s="740"/>
      <c r="GD363" s="740"/>
      <c r="GE363" s="740"/>
      <c r="GF363" s="740"/>
      <c r="GG363" s="740"/>
      <c r="GH363" s="740"/>
      <c r="GI363" s="740"/>
      <c r="GJ363" s="740"/>
      <c r="GK363" s="740"/>
      <c r="GL363" s="740"/>
      <c r="GM363" s="740"/>
      <c r="GN363" s="740"/>
      <c r="GO363" s="740"/>
      <c r="GP363" s="740"/>
      <c r="GQ363" s="740"/>
      <c r="GR363" s="740"/>
      <c r="GS363" s="740"/>
      <c r="GT363" s="740"/>
      <c r="GU363" s="740"/>
      <c r="GV363" s="740"/>
      <c r="GW363" s="740"/>
    </row>
    <row r="364" spans="18:205" ht="24" customHeight="1" x14ac:dyDescent="0.2">
      <c r="R364" s="740"/>
      <c r="S364" s="740"/>
      <c r="T364" s="740"/>
      <c r="U364" s="740"/>
      <c r="V364" s="740"/>
      <c r="W364" s="740"/>
      <c r="X364" s="740"/>
      <c r="Y364" s="740"/>
      <c r="Z364" s="740"/>
      <c r="AA364" s="740"/>
      <c r="AB364" s="740"/>
      <c r="AC364" s="740"/>
      <c r="AD364" s="740"/>
      <c r="AE364" s="740"/>
      <c r="AF364" s="740"/>
      <c r="AG364" s="740"/>
      <c r="AH364" s="740"/>
      <c r="AI364" s="740"/>
      <c r="AJ364" s="740"/>
      <c r="AK364" s="740"/>
      <c r="AL364" s="740"/>
      <c r="AM364" s="740"/>
      <c r="AN364" s="740"/>
      <c r="AO364" s="740"/>
      <c r="AP364" s="740"/>
      <c r="AQ364" s="740"/>
      <c r="AR364" s="740"/>
      <c r="AS364" s="740"/>
      <c r="AT364" s="740"/>
      <c r="AU364" s="740"/>
      <c r="AV364" s="740"/>
      <c r="AW364" s="740"/>
      <c r="AX364" s="740"/>
      <c r="AY364" s="740"/>
      <c r="AZ364" s="740"/>
      <c r="BA364" s="740"/>
      <c r="BB364" s="740"/>
      <c r="BC364" s="740"/>
      <c r="BD364" s="740"/>
      <c r="BE364" s="740"/>
      <c r="BF364" s="740"/>
      <c r="BG364" s="740"/>
      <c r="BH364" s="740"/>
      <c r="BI364" s="740"/>
      <c r="BJ364" s="740"/>
      <c r="BK364" s="740"/>
      <c r="BL364" s="740"/>
      <c r="BM364" s="740"/>
      <c r="BN364" s="740"/>
      <c r="BO364" s="740"/>
      <c r="BP364" s="740"/>
      <c r="BQ364" s="740"/>
      <c r="BR364" s="740"/>
      <c r="BS364" s="740"/>
      <c r="BT364" s="740"/>
      <c r="BU364" s="740"/>
      <c r="BV364" s="740"/>
      <c r="BW364" s="740"/>
      <c r="BX364" s="740"/>
      <c r="BY364" s="740"/>
      <c r="BZ364" s="740"/>
      <c r="CA364" s="740"/>
      <c r="CB364" s="740"/>
      <c r="CC364" s="740"/>
      <c r="CD364" s="740"/>
      <c r="CE364" s="740"/>
      <c r="CF364" s="740"/>
      <c r="CG364" s="740"/>
      <c r="CH364" s="740"/>
      <c r="CI364" s="740"/>
      <c r="CJ364" s="740"/>
      <c r="CK364" s="740"/>
      <c r="CL364" s="740"/>
      <c r="CM364" s="740"/>
      <c r="CN364" s="740"/>
      <c r="CO364" s="740"/>
      <c r="CP364" s="740"/>
      <c r="CQ364" s="740"/>
      <c r="CR364" s="740"/>
      <c r="CS364" s="740"/>
      <c r="CT364" s="740"/>
      <c r="CU364" s="740"/>
      <c r="CV364" s="740"/>
      <c r="CW364" s="740"/>
      <c r="CX364" s="740"/>
      <c r="CY364" s="740"/>
      <c r="CZ364" s="740"/>
      <c r="DA364" s="740"/>
      <c r="DB364" s="740"/>
      <c r="DC364" s="740"/>
      <c r="DD364" s="740"/>
      <c r="DE364" s="740"/>
      <c r="DF364" s="740"/>
      <c r="DG364" s="740"/>
      <c r="DH364" s="740"/>
      <c r="DI364" s="740"/>
      <c r="DJ364" s="740"/>
      <c r="DK364" s="740"/>
      <c r="DL364" s="740"/>
      <c r="DM364" s="740"/>
      <c r="DN364" s="740"/>
      <c r="DO364" s="740"/>
      <c r="DP364" s="740"/>
      <c r="DQ364" s="740"/>
      <c r="DR364" s="740"/>
      <c r="DS364" s="740"/>
      <c r="DT364" s="740"/>
      <c r="DU364" s="740"/>
      <c r="DV364" s="740"/>
      <c r="DW364" s="740"/>
      <c r="DX364" s="740"/>
      <c r="DY364" s="740"/>
      <c r="DZ364" s="740"/>
      <c r="EA364" s="740"/>
      <c r="EB364" s="740"/>
      <c r="EC364" s="740"/>
      <c r="ED364" s="740"/>
      <c r="EE364" s="740"/>
      <c r="EF364" s="740"/>
      <c r="EG364" s="740"/>
      <c r="EH364" s="740"/>
      <c r="EI364" s="740"/>
      <c r="EJ364" s="740"/>
      <c r="EK364" s="740"/>
      <c r="EL364" s="740"/>
      <c r="EM364" s="740"/>
      <c r="EN364" s="740"/>
      <c r="EO364" s="740"/>
      <c r="EP364" s="740"/>
      <c r="EQ364" s="740"/>
      <c r="ER364" s="740"/>
      <c r="ES364" s="740"/>
      <c r="ET364" s="740"/>
      <c r="EU364" s="740"/>
      <c r="EV364" s="740"/>
      <c r="EW364" s="740"/>
      <c r="EX364" s="740"/>
      <c r="EY364" s="740"/>
      <c r="EZ364" s="740"/>
      <c r="FA364" s="740"/>
      <c r="FB364" s="740"/>
      <c r="FC364" s="740"/>
      <c r="FD364" s="740"/>
      <c r="FE364" s="740"/>
      <c r="FF364" s="740"/>
      <c r="FG364" s="740"/>
      <c r="FH364" s="740"/>
      <c r="FI364" s="740"/>
      <c r="FJ364" s="740"/>
      <c r="FK364" s="740"/>
      <c r="FL364" s="740"/>
      <c r="FM364" s="740"/>
      <c r="FN364" s="740"/>
      <c r="FO364" s="740"/>
      <c r="FP364" s="740"/>
      <c r="FQ364" s="740"/>
      <c r="FR364" s="740"/>
      <c r="FS364" s="740"/>
      <c r="FT364" s="740"/>
      <c r="FU364" s="740"/>
      <c r="FV364" s="740"/>
      <c r="FW364" s="740"/>
      <c r="FX364" s="740"/>
      <c r="FY364" s="740"/>
      <c r="FZ364" s="740"/>
      <c r="GA364" s="740"/>
      <c r="GB364" s="740"/>
      <c r="GC364" s="740"/>
      <c r="GD364" s="740"/>
      <c r="GE364" s="740"/>
      <c r="GF364" s="740"/>
      <c r="GG364" s="740"/>
      <c r="GH364" s="740"/>
      <c r="GI364" s="740"/>
      <c r="GJ364" s="740"/>
      <c r="GK364" s="740"/>
      <c r="GL364" s="740"/>
      <c r="GM364" s="740"/>
      <c r="GN364" s="740"/>
      <c r="GO364" s="740"/>
      <c r="GP364" s="740"/>
      <c r="GQ364" s="740"/>
      <c r="GR364" s="740"/>
      <c r="GS364" s="740"/>
      <c r="GT364" s="740"/>
      <c r="GU364" s="740"/>
      <c r="GV364" s="740"/>
      <c r="GW364" s="740"/>
    </row>
    <row r="365" spans="18:205" ht="24" customHeight="1" x14ac:dyDescent="0.2">
      <c r="R365" s="740"/>
      <c r="S365" s="740"/>
      <c r="T365" s="740"/>
      <c r="U365" s="740"/>
      <c r="V365" s="740"/>
      <c r="W365" s="740"/>
      <c r="X365" s="740"/>
      <c r="Y365" s="740"/>
      <c r="Z365" s="740"/>
      <c r="AA365" s="740"/>
      <c r="AB365" s="740"/>
      <c r="AC365" s="740"/>
      <c r="AD365" s="740"/>
      <c r="AE365" s="740"/>
      <c r="AF365" s="740"/>
      <c r="AG365" s="740"/>
      <c r="AH365" s="740"/>
      <c r="AI365" s="740"/>
      <c r="AJ365" s="740"/>
      <c r="AK365" s="740"/>
      <c r="AL365" s="740"/>
      <c r="AM365" s="740"/>
      <c r="AN365" s="740"/>
      <c r="AO365" s="740"/>
      <c r="AP365" s="740"/>
      <c r="AQ365" s="740"/>
      <c r="AR365" s="740"/>
      <c r="AS365" s="740"/>
      <c r="AT365" s="740"/>
      <c r="AU365" s="740"/>
      <c r="AV365" s="740"/>
      <c r="AW365" s="740"/>
      <c r="AX365" s="740"/>
      <c r="AY365" s="740"/>
      <c r="AZ365" s="740"/>
      <c r="BA365" s="740"/>
      <c r="BB365" s="740"/>
      <c r="BC365" s="740"/>
      <c r="BD365" s="740"/>
      <c r="BE365" s="740"/>
      <c r="BF365" s="740"/>
      <c r="BG365" s="740"/>
      <c r="BH365" s="740"/>
      <c r="BI365" s="740"/>
      <c r="BJ365" s="740"/>
      <c r="BK365" s="740"/>
      <c r="BL365" s="740"/>
      <c r="BM365" s="740"/>
      <c r="BN365" s="740"/>
      <c r="BO365" s="740"/>
      <c r="BP365" s="740"/>
      <c r="BQ365" s="740"/>
      <c r="BR365" s="740"/>
      <c r="BS365" s="740"/>
      <c r="BT365" s="740"/>
      <c r="BU365" s="740"/>
      <c r="BV365" s="740"/>
      <c r="BW365" s="740"/>
      <c r="BX365" s="740"/>
      <c r="BY365" s="740"/>
      <c r="BZ365" s="740"/>
      <c r="CA365" s="740"/>
      <c r="CB365" s="740"/>
      <c r="CC365" s="740"/>
      <c r="CD365" s="740"/>
      <c r="CE365" s="740"/>
      <c r="CF365" s="740"/>
      <c r="CG365" s="740"/>
      <c r="CH365" s="740"/>
      <c r="CI365" s="740"/>
      <c r="CJ365" s="740"/>
      <c r="CK365" s="740"/>
      <c r="CL365" s="740"/>
      <c r="CM365" s="740"/>
      <c r="CN365" s="740"/>
      <c r="CO365" s="740"/>
      <c r="CP365" s="740"/>
      <c r="CQ365" s="740"/>
      <c r="CR365" s="740"/>
      <c r="CS365" s="740"/>
      <c r="CT365" s="740"/>
      <c r="CU365" s="740"/>
      <c r="CV365" s="740"/>
      <c r="CW365" s="740"/>
      <c r="CX365" s="740"/>
      <c r="CY365" s="740"/>
      <c r="CZ365" s="740"/>
      <c r="DA365" s="740"/>
      <c r="DB365" s="740"/>
      <c r="DC365" s="740"/>
      <c r="DD365" s="740"/>
      <c r="DE365" s="740"/>
      <c r="DF365" s="740"/>
      <c r="DG365" s="740"/>
      <c r="DH365" s="740"/>
      <c r="DI365" s="740"/>
      <c r="DJ365" s="740"/>
      <c r="DK365" s="740"/>
      <c r="DL365" s="740"/>
      <c r="DM365" s="740"/>
      <c r="DN365" s="740"/>
      <c r="DO365" s="740"/>
      <c r="DP365" s="740"/>
      <c r="DQ365" s="740"/>
      <c r="DR365" s="740"/>
      <c r="DS365" s="740"/>
      <c r="DT365" s="740"/>
      <c r="DU365" s="740"/>
      <c r="DV365" s="740"/>
      <c r="DW365" s="740"/>
      <c r="DX365" s="740"/>
      <c r="DY365" s="740"/>
      <c r="DZ365" s="740"/>
      <c r="EA365" s="740"/>
      <c r="EB365" s="740"/>
      <c r="EC365" s="740"/>
      <c r="ED365" s="740"/>
      <c r="EE365" s="740"/>
      <c r="EF365" s="740"/>
      <c r="EG365" s="740"/>
      <c r="EH365" s="740"/>
      <c r="EI365" s="740"/>
      <c r="EJ365" s="740"/>
      <c r="EK365" s="740"/>
      <c r="EL365" s="740"/>
      <c r="EM365" s="740"/>
      <c r="EN365" s="740"/>
      <c r="EO365" s="740"/>
      <c r="EP365" s="740"/>
      <c r="EQ365" s="740"/>
      <c r="ER365" s="740"/>
      <c r="ES365" s="740"/>
      <c r="ET365" s="740"/>
      <c r="EU365" s="740"/>
      <c r="EV365" s="740"/>
      <c r="EW365" s="740"/>
      <c r="EX365" s="740"/>
      <c r="EY365" s="740"/>
      <c r="EZ365" s="740"/>
      <c r="FA365" s="740"/>
      <c r="FB365" s="740"/>
      <c r="FC365" s="740"/>
      <c r="FD365" s="740"/>
      <c r="FE365" s="740"/>
      <c r="FF365" s="740"/>
      <c r="FG365" s="740"/>
      <c r="FH365" s="740"/>
      <c r="FI365" s="740"/>
      <c r="FJ365" s="740"/>
      <c r="FK365" s="740"/>
      <c r="FL365" s="740"/>
      <c r="FM365" s="740"/>
      <c r="FN365" s="740"/>
      <c r="FO365" s="740"/>
      <c r="FP365" s="740"/>
      <c r="FQ365" s="740"/>
      <c r="FR365" s="740"/>
      <c r="FS365" s="740"/>
      <c r="FT365" s="740"/>
      <c r="FU365" s="740"/>
      <c r="FV365" s="740"/>
      <c r="FW365" s="740"/>
      <c r="FX365" s="740"/>
      <c r="FY365" s="740"/>
      <c r="FZ365" s="740"/>
      <c r="GA365" s="740"/>
      <c r="GB365" s="740"/>
      <c r="GC365" s="740"/>
      <c r="GD365" s="740"/>
      <c r="GE365" s="740"/>
      <c r="GF365" s="740"/>
      <c r="GG365" s="740"/>
      <c r="GH365" s="740"/>
      <c r="GI365" s="740"/>
      <c r="GJ365" s="740"/>
      <c r="GK365" s="740"/>
      <c r="GL365" s="740"/>
      <c r="GM365" s="740"/>
      <c r="GN365" s="740"/>
      <c r="GO365" s="740"/>
      <c r="GP365" s="740"/>
      <c r="GQ365" s="740"/>
      <c r="GR365" s="740"/>
      <c r="GS365" s="740"/>
      <c r="GT365" s="740"/>
      <c r="GU365" s="740"/>
      <c r="GV365" s="740"/>
      <c r="GW365" s="740"/>
    </row>
    <row r="366" spans="18:205" ht="24" customHeight="1" x14ac:dyDescent="0.2">
      <c r="R366" s="740"/>
      <c r="S366" s="740"/>
      <c r="T366" s="740"/>
      <c r="U366" s="740"/>
      <c r="V366" s="740"/>
      <c r="W366" s="740"/>
      <c r="X366" s="740"/>
      <c r="Y366" s="740"/>
      <c r="Z366" s="740"/>
      <c r="AA366" s="740"/>
      <c r="AB366" s="740"/>
      <c r="AC366" s="740"/>
      <c r="AD366" s="740"/>
      <c r="AE366" s="740"/>
      <c r="AF366" s="740"/>
      <c r="AG366" s="740"/>
      <c r="AH366" s="740"/>
      <c r="AI366" s="740"/>
      <c r="AJ366" s="740"/>
      <c r="AK366" s="740"/>
      <c r="AL366" s="740"/>
      <c r="AM366" s="740"/>
      <c r="AN366" s="740"/>
      <c r="AO366" s="740"/>
      <c r="AP366" s="740"/>
      <c r="AQ366" s="740"/>
      <c r="AR366" s="740"/>
      <c r="AS366" s="740"/>
      <c r="AT366" s="740"/>
      <c r="AU366" s="740"/>
      <c r="AV366" s="740"/>
      <c r="AW366" s="740"/>
      <c r="AX366" s="740"/>
      <c r="AY366" s="740"/>
      <c r="AZ366" s="740"/>
      <c r="BA366" s="740"/>
      <c r="BB366" s="740"/>
      <c r="BC366" s="740"/>
      <c r="BD366" s="740"/>
      <c r="BE366" s="740"/>
      <c r="BF366" s="740"/>
      <c r="BG366" s="740"/>
      <c r="BH366" s="740"/>
      <c r="BI366" s="740"/>
      <c r="BJ366" s="740"/>
      <c r="BK366" s="740"/>
      <c r="BL366" s="740"/>
      <c r="BM366" s="740"/>
      <c r="BN366" s="740"/>
      <c r="BO366" s="740"/>
      <c r="BP366" s="740"/>
      <c r="BQ366" s="740"/>
      <c r="BR366" s="740"/>
      <c r="BS366" s="740"/>
      <c r="BT366" s="740"/>
      <c r="BU366" s="740"/>
      <c r="BV366" s="740"/>
      <c r="BW366" s="740"/>
      <c r="BX366" s="740"/>
      <c r="BY366" s="740"/>
      <c r="BZ366" s="740"/>
      <c r="CA366" s="740"/>
      <c r="CB366" s="740"/>
      <c r="CC366" s="740"/>
      <c r="CD366" s="740"/>
      <c r="CE366" s="740"/>
      <c r="CF366" s="740"/>
      <c r="CG366" s="740"/>
      <c r="CH366" s="740"/>
      <c r="CI366" s="740"/>
      <c r="CJ366" s="740"/>
      <c r="CK366" s="740"/>
      <c r="CL366" s="740"/>
      <c r="CM366" s="740"/>
      <c r="CN366" s="740"/>
      <c r="CO366" s="740"/>
      <c r="CP366" s="740"/>
      <c r="CQ366" s="740"/>
      <c r="CR366" s="740"/>
      <c r="CS366" s="740"/>
      <c r="CT366" s="740"/>
      <c r="CU366" s="740"/>
      <c r="CV366" s="740"/>
      <c r="CW366" s="740"/>
      <c r="CX366" s="740"/>
      <c r="CY366" s="740"/>
      <c r="CZ366" s="740"/>
      <c r="DA366" s="740"/>
      <c r="DB366" s="740"/>
      <c r="DC366" s="740"/>
      <c r="DD366" s="740"/>
      <c r="DE366" s="740"/>
      <c r="DF366" s="740"/>
      <c r="DG366" s="740"/>
      <c r="DH366" s="740"/>
      <c r="DI366" s="740"/>
      <c r="DJ366" s="740"/>
      <c r="DK366" s="740"/>
      <c r="DL366" s="740"/>
      <c r="DM366" s="740"/>
      <c r="DN366" s="740"/>
      <c r="DO366" s="740"/>
      <c r="DP366" s="740"/>
      <c r="DQ366" s="740"/>
      <c r="DR366" s="740"/>
      <c r="DS366" s="740"/>
      <c r="DT366" s="740"/>
      <c r="DU366" s="740"/>
      <c r="DV366" s="740"/>
      <c r="DW366" s="740"/>
      <c r="DX366" s="740"/>
      <c r="DY366" s="740"/>
      <c r="DZ366" s="740"/>
      <c r="EA366" s="740"/>
      <c r="EB366" s="740"/>
      <c r="EC366" s="740"/>
      <c r="ED366" s="740"/>
      <c r="EE366" s="740"/>
      <c r="EF366" s="740"/>
      <c r="EG366" s="740"/>
      <c r="EH366" s="740"/>
      <c r="EI366" s="740"/>
      <c r="EJ366" s="740"/>
      <c r="EK366" s="740"/>
      <c r="EL366" s="740"/>
      <c r="EM366" s="740"/>
      <c r="EN366" s="740"/>
      <c r="EO366" s="740"/>
      <c r="EP366" s="740"/>
      <c r="EQ366" s="740"/>
      <c r="ER366" s="740"/>
      <c r="ES366" s="740"/>
      <c r="ET366" s="740"/>
      <c r="EU366" s="740"/>
      <c r="EV366" s="740"/>
      <c r="EW366" s="740"/>
      <c r="EX366" s="740"/>
      <c r="EY366" s="740"/>
      <c r="EZ366" s="740"/>
      <c r="FA366" s="740"/>
      <c r="FB366" s="740"/>
      <c r="FC366" s="740"/>
      <c r="FD366" s="740"/>
      <c r="FE366" s="740"/>
      <c r="FF366" s="740"/>
      <c r="FG366" s="740"/>
      <c r="FH366" s="740"/>
      <c r="FI366" s="740"/>
      <c r="FJ366" s="740"/>
      <c r="FK366" s="740"/>
      <c r="FL366" s="740"/>
      <c r="FM366" s="740"/>
      <c r="FN366" s="740"/>
      <c r="FO366" s="740"/>
      <c r="FP366" s="740"/>
      <c r="FQ366" s="740"/>
      <c r="FR366" s="740"/>
      <c r="FS366" s="740"/>
      <c r="FT366" s="740"/>
      <c r="FU366" s="740"/>
      <c r="FV366" s="740"/>
      <c r="FW366" s="740"/>
      <c r="FX366" s="740"/>
      <c r="FY366" s="740"/>
      <c r="FZ366" s="740"/>
      <c r="GA366" s="740"/>
      <c r="GB366" s="740"/>
      <c r="GC366" s="740"/>
      <c r="GD366" s="740"/>
      <c r="GE366" s="740"/>
      <c r="GF366" s="740"/>
      <c r="GG366" s="740"/>
      <c r="GH366" s="740"/>
      <c r="GI366" s="740"/>
      <c r="GJ366" s="740"/>
      <c r="GK366" s="740"/>
      <c r="GL366" s="740"/>
      <c r="GM366" s="740"/>
      <c r="GN366" s="740"/>
      <c r="GO366" s="740"/>
      <c r="GP366" s="740"/>
      <c r="GQ366" s="740"/>
      <c r="GR366" s="740"/>
      <c r="GS366" s="740"/>
      <c r="GT366" s="740"/>
      <c r="GU366" s="740"/>
      <c r="GV366" s="740"/>
      <c r="GW366" s="740"/>
    </row>
    <row r="367" spans="18:205" ht="24" customHeight="1" x14ac:dyDescent="0.2">
      <c r="R367" s="740"/>
      <c r="S367" s="740"/>
      <c r="T367" s="740"/>
      <c r="U367" s="740"/>
      <c r="V367" s="740"/>
      <c r="W367" s="740"/>
      <c r="X367" s="740"/>
      <c r="Y367" s="740"/>
      <c r="Z367" s="740"/>
      <c r="AA367" s="740"/>
      <c r="AB367" s="740"/>
      <c r="AC367" s="740"/>
      <c r="AD367" s="740"/>
      <c r="AE367" s="740"/>
      <c r="AF367" s="740"/>
      <c r="AG367" s="740"/>
      <c r="AH367" s="740"/>
      <c r="AI367" s="740"/>
      <c r="AJ367" s="740"/>
      <c r="AK367" s="740"/>
      <c r="AL367" s="740"/>
      <c r="AM367" s="740"/>
      <c r="AN367" s="740"/>
      <c r="AO367" s="740"/>
      <c r="AP367" s="740"/>
      <c r="AQ367" s="740"/>
      <c r="AR367" s="740"/>
      <c r="AS367" s="740"/>
      <c r="AT367" s="740"/>
      <c r="AU367" s="740"/>
      <c r="AV367" s="740"/>
      <c r="AW367" s="740"/>
      <c r="AX367" s="740"/>
      <c r="AY367" s="740"/>
      <c r="AZ367" s="740"/>
      <c r="BA367" s="740"/>
      <c r="BB367" s="740"/>
      <c r="BC367" s="740"/>
      <c r="BD367" s="740"/>
      <c r="BE367" s="740"/>
      <c r="BF367" s="740"/>
      <c r="BG367" s="740"/>
      <c r="BH367" s="740"/>
      <c r="BI367" s="740"/>
      <c r="BJ367" s="740"/>
      <c r="BK367" s="740"/>
      <c r="BL367" s="740"/>
      <c r="BM367" s="740"/>
      <c r="BN367" s="740"/>
      <c r="BO367" s="740"/>
      <c r="BP367" s="740"/>
      <c r="BQ367" s="740"/>
      <c r="BR367" s="740"/>
      <c r="BS367" s="740"/>
      <c r="BT367" s="740"/>
      <c r="BU367" s="740"/>
      <c r="BV367" s="740"/>
      <c r="BW367" s="740"/>
      <c r="BX367" s="740"/>
      <c r="BY367" s="740"/>
      <c r="BZ367" s="740"/>
      <c r="CA367" s="740"/>
      <c r="CB367" s="740"/>
      <c r="CC367" s="740"/>
      <c r="CD367" s="740"/>
      <c r="CE367" s="740"/>
      <c r="CF367" s="740"/>
      <c r="CG367" s="740"/>
      <c r="CH367" s="740"/>
      <c r="CI367" s="740"/>
      <c r="CJ367" s="740"/>
      <c r="CK367" s="740"/>
      <c r="CL367" s="740"/>
      <c r="CM367" s="740"/>
      <c r="CN367" s="740"/>
      <c r="CO367" s="740"/>
      <c r="CP367" s="740"/>
      <c r="CQ367" s="740"/>
      <c r="CR367" s="740"/>
      <c r="CS367" s="740"/>
      <c r="CT367" s="740"/>
      <c r="CU367" s="740"/>
      <c r="CV367" s="740"/>
      <c r="CW367" s="740"/>
      <c r="CX367" s="740"/>
      <c r="CY367" s="740"/>
      <c r="CZ367" s="740"/>
      <c r="DA367" s="740"/>
      <c r="DB367" s="740"/>
      <c r="DC367" s="740"/>
      <c r="DD367" s="740"/>
      <c r="DE367" s="740"/>
      <c r="DF367" s="740"/>
      <c r="DG367" s="740"/>
      <c r="DH367" s="740"/>
      <c r="DI367" s="740"/>
      <c r="DJ367" s="740"/>
      <c r="DK367" s="740"/>
      <c r="DL367" s="740"/>
      <c r="DM367" s="740"/>
      <c r="DN367" s="740"/>
      <c r="DO367" s="740"/>
      <c r="DP367" s="740"/>
      <c r="DQ367" s="740"/>
      <c r="DR367" s="740"/>
      <c r="DS367" s="740"/>
      <c r="DT367" s="740"/>
      <c r="DU367" s="740"/>
      <c r="DV367" s="740"/>
      <c r="DW367" s="740"/>
      <c r="DX367" s="740"/>
      <c r="DY367" s="740"/>
      <c r="DZ367" s="740"/>
      <c r="EA367" s="740"/>
      <c r="EB367" s="740"/>
      <c r="EC367" s="740"/>
      <c r="ED367" s="740"/>
      <c r="EE367" s="740"/>
      <c r="EF367" s="740"/>
      <c r="EG367" s="740"/>
      <c r="EH367" s="740"/>
      <c r="EI367" s="740"/>
      <c r="EJ367" s="740"/>
      <c r="EK367" s="740"/>
      <c r="EL367" s="740"/>
      <c r="EM367" s="740"/>
      <c r="EN367" s="740"/>
      <c r="EO367" s="740"/>
      <c r="EP367" s="740"/>
      <c r="EQ367" s="740"/>
      <c r="ER367" s="740"/>
      <c r="ES367" s="740"/>
      <c r="ET367" s="740"/>
      <c r="EU367" s="740"/>
      <c r="EV367" s="740"/>
      <c r="EW367" s="740"/>
      <c r="EX367" s="740"/>
      <c r="EY367" s="740"/>
      <c r="EZ367" s="740"/>
      <c r="FA367" s="740"/>
      <c r="FB367" s="740"/>
      <c r="FC367" s="740"/>
      <c r="FD367" s="740"/>
      <c r="FE367" s="740"/>
      <c r="FF367" s="740"/>
      <c r="FG367" s="740"/>
      <c r="FH367" s="740"/>
      <c r="FI367" s="740"/>
      <c r="FJ367" s="740"/>
      <c r="FK367" s="740"/>
      <c r="FL367" s="740"/>
      <c r="FM367" s="740"/>
      <c r="FN367" s="740"/>
      <c r="FO367" s="740"/>
      <c r="FP367" s="740"/>
      <c r="FQ367" s="740"/>
      <c r="FR367" s="740"/>
      <c r="FS367" s="740"/>
      <c r="FT367" s="740"/>
      <c r="FU367" s="740"/>
      <c r="FV367" s="740"/>
      <c r="FW367" s="740"/>
      <c r="FX367" s="740"/>
      <c r="FY367" s="740"/>
      <c r="FZ367" s="740"/>
      <c r="GA367" s="740"/>
      <c r="GB367" s="740"/>
      <c r="GC367" s="740"/>
      <c r="GD367" s="740"/>
      <c r="GE367" s="740"/>
      <c r="GF367" s="740"/>
      <c r="GG367" s="740"/>
      <c r="GH367" s="740"/>
      <c r="GI367" s="740"/>
      <c r="GJ367" s="740"/>
      <c r="GK367" s="740"/>
      <c r="GL367" s="740"/>
      <c r="GM367" s="740"/>
      <c r="GN367" s="740"/>
      <c r="GO367" s="740"/>
      <c r="GP367" s="740"/>
      <c r="GQ367" s="740"/>
      <c r="GR367" s="740"/>
      <c r="GS367" s="740"/>
      <c r="GT367" s="740"/>
      <c r="GU367" s="740"/>
      <c r="GV367" s="740"/>
      <c r="GW367" s="740"/>
    </row>
    <row r="368" spans="18:205" ht="24" customHeight="1" x14ac:dyDescent="0.2">
      <c r="R368" s="740"/>
      <c r="S368" s="740"/>
      <c r="T368" s="740"/>
      <c r="U368" s="740"/>
      <c r="V368" s="740"/>
      <c r="W368" s="740"/>
      <c r="X368" s="740"/>
      <c r="Y368" s="740"/>
      <c r="Z368" s="740"/>
      <c r="AA368" s="740"/>
      <c r="AB368" s="740"/>
      <c r="AC368" s="740"/>
      <c r="AD368" s="740"/>
      <c r="AE368" s="740"/>
      <c r="AF368" s="740"/>
      <c r="AG368" s="740"/>
      <c r="AH368" s="740"/>
      <c r="AI368" s="740"/>
      <c r="AJ368" s="740"/>
      <c r="AK368" s="740"/>
      <c r="AL368" s="740"/>
      <c r="AM368" s="740"/>
      <c r="AN368" s="740"/>
      <c r="AO368" s="740"/>
      <c r="AP368" s="740"/>
      <c r="AQ368" s="740"/>
      <c r="AR368" s="740"/>
      <c r="AS368" s="740"/>
      <c r="AT368" s="740"/>
      <c r="AU368" s="740"/>
      <c r="AV368" s="740"/>
      <c r="AW368" s="740"/>
      <c r="AX368" s="740"/>
      <c r="AY368" s="740"/>
      <c r="AZ368" s="740"/>
      <c r="BA368" s="740"/>
      <c r="BB368" s="740"/>
      <c r="BC368" s="740"/>
      <c r="BD368" s="740"/>
      <c r="BE368" s="740"/>
      <c r="BF368" s="740"/>
      <c r="BG368" s="740"/>
      <c r="BH368" s="740"/>
      <c r="BI368" s="740"/>
      <c r="BJ368" s="740"/>
      <c r="BK368" s="740"/>
      <c r="BL368" s="740"/>
      <c r="BM368" s="740"/>
      <c r="BN368" s="740"/>
      <c r="BO368" s="740"/>
      <c r="BP368" s="740"/>
      <c r="BQ368" s="740"/>
      <c r="BR368" s="740"/>
      <c r="BS368" s="740"/>
      <c r="BT368" s="740"/>
      <c r="BU368" s="740"/>
      <c r="BV368" s="740"/>
      <c r="BW368" s="740"/>
      <c r="BX368" s="740"/>
      <c r="BY368" s="740"/>
      <c r="BZ368" s="740"/>
      <c r="CA368" s="740"/>
      <c r="CB368" s="740"/>
      <c r="CC368" s="740"/>
      <c r="CD368" s="740"/>
      <c r="CE368" s="740"/>
      <c r="CF368" s="740"/>
      <c r="CG368" s="740"/>
      <c r="CH368" s="740"/>
      <c r="CI368" s="740"/>
      <c r="CJ368" s="740"/>
      <c r="CK368" s="740"/>
      <c r="CL368" s="740"/>
      <c r="CM368" s="740"/>
      <c r="CN368" s="740"/>
      <c r="CO368" s="740"/>
      <c r="CP368" s="740"/>
      <c r="CQ368" s="740"/>
      <c r="CR368" s="740"/>
      <c r="CS368" s="740"/>
      <c r="CT368" s="740"/>
      <c r="CU368" s="740"/>
      <c r="CV368" s="740"/>
      <c r="CW368" s="740"/>
      <c r="CX368" s="740"/>
      <c r="CY368" s="740"/>
      <c r="CZ368" s="740"/>
      <c r="DA368" s="740"/>
      <c r="DB368" s="740"/>
      <c r="DC368" s="740"/>
      <c r="DD368" s="740"/>
      <c r="DE368" s="740"/>
      <c r="DF368" s="740"/>
      <c r="DG368" s="740"/>
      <c r="DH368" s="740"/>
      <c r="DI368" s="740"/>
      <c r="DJ368" s="740"/>
      <c r="DK368" s="740"/>
      <c r="DL368" s="740"/>
      <c r="DM368" s="740"/>
      <c r="DN368" s="740"/>
      <c r="DO368" s="740"/>
      <c r="DP368" s="740"/>
      <c r="DQ368" s="740"/>
      <c r="DR368" s="740"/>
      <c r="DS368" s="740"/>
      <c r="DT368" s="740"/>
      <c r="DU368" s="740"/>
      <c r="DV368" s="740"/>
      <c r="DW368" s="740"/>
      <c r="DX368" s="740"/>
      <c r="DY368" s="740"/>
      <c r="DZ368" s="740"/>
      <c r="EA368" s="740"/>
      <c r="EB368" s="740"/>
      <c r="EC368" s="740"/>
      <c r="ED368" s="740"/>
      <c r="EE368" s="740"/>
      <c r="EF368" s="740"/>
      <c r="EG368" s="740"/>
      <c r="EH368" s="740"/>
      <c r="EI368" s="740"/>
      <c r="EJ368" s="740"/>
      <c r="EK368" s="740"/>
      <c r="EL368" s="740"/>
      <c r="EM368" s="740"/>
      <c r="EN368" s="740"/>
      <c r="EO368" s="740"/>
      <c r="EP368" s="740"/>
      <c r="EQ368" s="740"/>
      <c r="ER368" s="740"/>
      <c r="ES368" s="740"/>
      <c r="ET368" s="740"/>
      <c r="EU368" s="740"/>
      <c r="EV368" s="740"/>
      <c r="EW368" s="740"/>
      <c r="EX368" s="740"/>
      <c r="EY368" s="740"/>
      <c r="EZ368" s="740"/>
      <c r="FA368" s="740"/>
      <c r="FB368" s="740"/>
      <c r="FC368" s="740"/>
      <c r="FD368" s="740"/>
      <c r="FE368" s="740"/>
      <c r="FF368" s="740"/>
      <c r="FG368" s="740"/>
      <c r="FH368" s="740"/>
      <c r="FI368" s="740"/>
      <c r="FJ368" s="740"/>
      <c r="FK368" s="740"/>
      <c r="FL368" s="740"/>
      <c r="FM368" s="740"/>
      <c r="FN368" s="740"/>
      <c r="FO368" s="740"/>
      <c r="FP368" s="740"/>
      <c r="FQ368" s="740"/>
      <c r="FR368" s="740"/>
      <c r="FS368" s="740"/>
      <c r="FT368" s="740"/>
      <c r="FU368" s="740"/>
      <c r="FV368" s="740"/>
      <c r="FW368" s="740"/>
      <c r="FX368" s="740"/>
      <c r="FY368" s="740"/>
      <c r="FZ368" s="740"/>
      <c r="GA368" s="740"/>
      <c r="GB368" s="740"/>
      <c r="GC368" s="740"/>
      <c r="GD368" s="740"/>
      <c r="GE368" s="740"/>
      <c r="GF368" s="740"/>
      <c r="GG368" s="740"/>
      <c r="GH368" s="740"/>
      <c r="GI368" s="740"/>
      <c r="GJ368" s="740"/>
      <c r="GK368" s="740"/>
      <c r="GL368" s="740"/>
      <c r="GM368" s="740"/>
      <c r="GN368" s="740"/>
      <c r="GO368" s="740"/>
      <c r="GP368" s="740"/>
      <c r="GQ368" s="740"/>
      <c r="GR368" s="740"/>
      <c r="GS368" s="740"/>
      <c r="GT368" s="740"/>
      <c r="GU368" s="740"/>
      <c r="GV368" s="740"/>
      <c r="GW368" s="740"/>
    </row>
    <row r="369" spans="18:205" ht="24" customHeight="1" x14ac:dyDescent="0.2">
      <c r="R369" s="740"/>
      <c r="S369" s="740"/>
      <c r="T369" s="740"/>
      <c r="U369" s="740"/>
      <c r="V369" s="740"/>
      <c r="W369" s="740"/>
      <c r="X369" s="740"/>
      <c r="Y369" s="740"/>
      <c r="Z369" s="740"/>
      <c r="AA369" s="740"/>
      <c r="AB369" s="740"/>
      <c r="AC369" s="740"/>
      <c r="AD369" s="740"/>
      <c r="AE369" s="740"/>
      <c r="AF369" s="740"/>
      <c r="AG369" s="740"/>
      <c r="AH369" s="740"/>
      <c r="AI369" s="740"/>
      <c r="AJ369" s="740"/>
      <c r="AK369" s="740"/>
      <c r="AL369" s="740"/>
      <c r="AM369" s="740"/>
      <c r="AN369" s="740"/>
      <c r="AO369" s="740"/>
      <c r="AP369" s="740"/>
      <c r="AQ369" s="740"/>
      <c r="AR369" s="740"/>
      <c r="AS369" s="740"/>
      <c r="AT369" s="740"/>
      <c r="AU369" s="740"/>
      <c r="AV369" s="740"/>
      <c r="AW369" s="740"/>
      <c r="AX369" s="740"/>
      <c r="AY369" s="740"/>
      <c r="AZ369" s="740"/>
      <c r="BA369" s="740"/>
      <c r="BB369" s="740"/>
      <c r="BC369" s="740"/>
      <c r="BD369" s="740"/>
      <c r="BE369" s="740"/>
      <c r="BF369" s="740"/>
      <c r="BG369" s="740"/>
      <c r="BH369" s="740"/>
      <c r="BI369" s="740"/>
      <c r="BJ369" s="740"/>
      <c r="BK369" s="740"/>
      <c r="BL369" s="740"/>
      <c r="BM369" s="740"/>
      <c r="BN369" s="740"/>
      <c r="BO369" s="740"/>
      <c r="BP369" s="740"/>
      <c r="BQ369" s="740"/>
      <c r="BR369" s="740"/>
      <c r="BS369" s="740"/>
      <c r="BT369" s="740"/>
      <c r="BU369" s="740"/>
      <c r="BV369" s="740"/>
      <c r="BW369" s="740"/>
      <c r="BX369" s="740"/>
      <c r="BY369" s="740"/>
      <c r="BZ369" s="740"/>
      <c r="CA369" s="740"/>
      <c r="CB369" s="740"/>
      <c r="CC369" s="740"/>
      <c r="CD369" s="740"/>
      <c r="CE369" s="740"/>
      <c r="CF369" s="740"/>
      <c r="CG369" s="740"/>
      <c r="CH369" s="740"/>
      <c r="CI369" s="740"/>
      <c r="CJ369" s="740"/>
      <c r="CK369" s="740"/>
      <c r="CL369" s="740"/>
      <c r="CM369" s="740"/>
      <c r="CN369" s="740"/>
      <c r="CO369" s="740"/>
      <c r="CP369" s="740"/>
      <c r="CQ369" s="740"/>
      <c r="CR369" s="740"/>
      <c r="CS369" s="740"/>
      <c r="CT369" s="740"/>
      <c r="CU369" s="740"/>
      <c r="CV369" s="740"/>
      <c r="CW369" s="740"/>
      <c r="CX369" s="740"/>
      <c r="CY369" s="740"/>
      <c r="CZ369" s="740"/>
      <c r="DA369" s="740"/>
      <c r="DB369" s="740"/>
      <c r="DC369" s="740"/>
      <c r="DD369" s="740"/>
      <c r="DE369" s="740"/>
      <c r="DF369" s="740"/>
      <c r="DG369" s="740"/>
      <c r="DH369" s="740"/>
      <c r="DI369" s="740"/>
      <c r="DJ369" s="740"/>
      <c r="DK369" s="740"/>
      <c r="DL369" s="740"/>
      <c r="DM369" s="740"/>
      <c r="DN369" s="740"/>
      <c r="DO369" s="740"/>
      <c r="DP369" s="740"/>
      <c r="DQ369" s="740"/>
      <c r="DR369" s="740"/>
      <c r="DS369" s="740"/>
      <c r="DT369" s="740"/>
      <c r="DU369" s="740"/>
      <c r="DV369" s="740"/>
      <c r="DW369" s="740"/>
      <c r="DX369" s="740"/>
      <c r="DY369" s="740"/>
      <c r="DZ369" s="740"/>
      <c r="EA369" s="740"/>
      <c r="EB369" s="740"/>
      <c r="EC369" s="740"/>
      <c r="ED369" s="740"/>
      <c r="EE369" s="740"/>
      <c r="EF369" s="740"/>
      <c r="EG369" s="740"/>
      <c r="EH369" s="740"/>
      <c r="EI369" s="740"/>
      <c r="EJ369" s="740"/>
      <c r="EK369" s="740"/>
      <c r="EL369" s="740"/>
      <c r="EM369" s="740"/>
      <c r="EN369" s="740"/>
      <c r="EO369" s="740"/>
      <c r="EP369" s="740"/>
      <c r="EQ369" s="740"/>
      <c r="ER369" s="740"/>
      <c r="ES369" s="740"/>
      <c r="ET369" s="740"/>
      <c r="EU369" s="740"/>
      <c r="EV369" s="740"/>
      <c r="EW369" s="740"/>
      <c r="EX369" s="740"/>
      <c r="EY369" s="740"/>
      <c r="EZ369" s="740"/>
      <c r="FA369" s="740"/>
      <c r="FB369" s="740"/>
      <c r="FC369" s="740"/>
      <c r="FD369" s="740"/>
      <c r="FE369" s="740"/>
      <c r="FF369" s="740"/>
      <c r="FG369" s="740"/>
      <c r="FH369" s="740"/>
      <c r="FI369" s="740"/>
      <c r="FJ369" s="740"/>
      <c r="FK369" s="740"/>
      <c r="FL369" s="740"/>
      <c r="FM369" s="740"/>
      <c r="FN369" s="740"/>
      <c r="FO369" s="740"/>
      <c r="FP369" s="740"/>
      <c r="FQ369" s="740"/>
      <c r="FR369" s="740"/>
      <c r="FS369" s="740"/>
      <c r="FT369" s="740"/>
      <c r="FU369" s="740"/>
      <c r="FV369" s="740"/>
      <c r="FW369" s="740"/>
      <c r="FX369" s="740"/>
      <c r="FY369" s="740"/>
      <c r="FZ369" s="740"/>
      <c r="GA369" s="740"/>
      <c r="GB369" s="740"/>
      <c r="GC369" s="740"/>
      <c r="GD369" s="740"/>
      <c r="GE369" s="740"/>
      <c r="GF369" s="740"/>
      <c r="GG369" s="740"/>
      <c r="GH369" s="740"/>
      <c r="GI369" s="740"/>
      <c r="GJ369" s="740"/>
      <c r="GK369" s="740"/>
      <c r="GL369" s="740"/>
      <c r="GM369" s="740"/>
      <c r="GN369" s="740"/>
      <c r="GO369" s="740"/>
      <c r="GP369" s="740"/>
      <c r="GQ369" s="740"/>
      <c r="GR369" s="740"/>
      <c r="GS369" s="740"/>
      <c r="GT369" s="740"/>
      <c r="GU369" s="740"/>
      <c r="GV369" s="740"/>
      <c r="GW369" s="740"/>
    </row>
    <row r="370" spans="18:205" ht="24" customHeight="1" x14ac:dyDescent="0.2">
      <c r="R370" s="740"/>
      <c r="S370" s="740"/>
      <c r="T370" s="740"/>
      <c r="U370" s="740"/>
      <c r="V370" s="740"/>
      <c r="W370" s="740"/>
      <c r="X370" s="740"/>
      <c r="Y370" s="740"/>
      <c r="Z370" s="740"/>
      <c r="AA370" s="740"/>
      <c r="AB370" s="740"/>
      <c r="AC370" s="740"/>
      <c r="AD370" s="740"/>
      <c r="AE370" s="740"/>
      <c r="AF370" s="740"/>
      <c r="AG370" s="740"/>
      <c r="AH370" s="740"/>
      <c r="AI370" s="740"/>
      <c r="AJ370" s="740"/>
      <c r="AK370" s="740"/>
      <c r="AL370" s="740"/>
      <c r="AM370" s="740"/>
      <c r="AN370" s="740"/>
      <c r="AO370" s="740"/>
      <c r="AP370" s="740"/>
      <c r="AQ370" s="740"/>
      <c r="AR370" s="740"/>
      <c r="AS370" s="740"/>
      <c r="AT370" s="740"/>
      <c r="AU370" s="740"/>
      <c r="AV370" s="740"/>
      <c r="AW370" s="740"/>
      <c r="AX370" s="740"/>
      <c r="AY370" s="740"/>
      <c r="AZ370" s="740"/>
      <c r="BA370" s="740"/>
      <c r="BB370" s="740"/>
      <c r="BC370" s="740"/>
      <c r="BD370" s="740"/>
      <c r="BE370" s="740"/>
      <c r="BF370" s="740"/>
      <c r="BG370" s="740"/>
      <c r="BH370" s="740"/>
      <c r="BI370" s="740"/>
      <c r="BJ370" s="740"/>
      <c r="BK370" s="740"/>
      <c r="BL370" s="740"/>
      <c r="BM370" s="740"/>
      <c r="BN370" s="740"/>
      <c r="BO370" s="740"/>
      <c r="BP370" s="740"/>
      <c r="BQ370" s="740"/>
      <c r="BR370" s="740"/>
      <c r="BS370" s="740"/>
      <c r="BT370" s="740"/>
      <c r="BU370" s="740"/>
      <c r="BV370" s="740"/>
      <c r="BW370" s="740"/>
      <c r="BX370" s="740"/>
      <c r="BY370" s="740"/>
      <c r="BZ370" s="740"/>
      <c r="CA370" s="740"/>
      <c r="CB370" s="740"/>
      <c r="CC370" s="740"/>
      <c r="CD370" s="740"/>
      <c r="CE370" s="740"/>
      <c r="CF370" s="740"/>
      <c r="CG370" s="740"/>
      <c r="CH370" s="740"/>
      <c r="CI370" s="740"/>
      <c r="CJ370" s="740"/>
      <c r="CK370" s="740"/>
      <c r="CL370" s="740"/>
      <c r="CM370" s="740"/>
      <c r="CN370" s="740"/>
      <c r="CO370" s="740"/>
      <c r="CP370" s="740"/>
      <c r="CQ370" s="740"/>
      <c r="CR370" s="740"/>
      <c r="CS370" s="740"/>
      <c r="CT370" s="740"/>
      <c r="CU370" s="740"/>
      <c r="CV370" s="740"/>
      <c r="CW370" s="740"/>
      <c r="CX370" s="740"/>
      <c r="CY370" s="740"/>
      <c r="CZ370" s="740"/>
      <c r="DA370" s="740"/>
      <c r="DB370" s="740"/>
      <c r="DC370" s="740"/>
      <c r="DD370" s="740"/>
      <c r="DE370" s="740"/>
      <c r="DF370" s="740"/>
      <c r="DG370" s="740"/>
      <c r="DH370" s="740"/>
      <c r="DI370" s="740"/>
      <c r="DJ370" s="740"/>
      <c r="DK370" s="740"/>
      <c r="DL370" s="740"/>
      <c r="DM370" s="740"/>
      <c r="DN370" s="740"/>
      <c r="DO370" s="740"/>
      <c r="DP370" s="740"/>
      <c r="DQ370" s="740"/>
      <c r="DR370" s="740"/>
      <c r="DS370" s="740"/>
      <c r="DT370" s="740"/>
      <c r="DU370" s="740"/>
      <c r="DV370" s="740"/>
      <c r="DW370" s="740"/>
      <c r="DX370" s="740"/>
      <c r="DY370" s="740"/>
      <c r="DZ370" s="740"/>
      <c r="EA370" s="740"/>
      <c r="EB370" s="740"/>
      <c r="EC370" s="740"/>
      <c r="ED370" s="740"/>
      <c r="EE370" s="740"/>
      <c r="EF370" s="740"/>
      <c r="EG370" s="740"/>
      <c r="EH370" s="740"/>
      <c r="EI370" s="740"/>
      <c r="EJ370" s="740"/>
      <c r="EK370" s="740"/>
      <c r="EL370" s="740"/>
      <c r="EM370" s="740"/>
      <c r="EN370" s="740"/>
      <c r="EO370" s="740"/>
      <c r="EP370" s="740"/>
      <c r="EQ370" s="740"/>
      <c r="ER370" s="740"/>
      <c r="ES370" s="740"/>
      <c r="ET370" s="740"/>
      <c r="EU370" s="740"/>
      <c r="EV370" s="740"/>
      <c r="EW370" s="740"/>
      <c r="EX370" s="740"/>
      <c r="EY370" s="740"/>
      <c r="EZ370" s="740"/>
      <c r="FA370" s="740"/>
      <c r="FB370" s="740"/>
      <c r="FC370" s="740"/>
      <c r="FD370" s="740"/>
      <c r="FE370" s="740"/>
      <c r="FF370" s="740"/>
      <c r="FG370" s="740"/>
      <c r="FH370" s="740"/>
      <c r="FI370" s="740"/>
      <c r="FJ370" s="740"/>
      <c r="FK370" s="740"/>
      <c r="FL370" s="740"/>
      <c r="FM370" s="740"/>
      <c r="FN370" s="740"/>
      <c r="FO370" s="740"/>
      <c r="FP370" s="740"/>
      <c r="FQ370" s="740"/>
      <c r="FR370" s="740"/>
      <c r="FS370" s="740"/>
      <c r="FT370" s="740"/>
      <c r="FU370" s="740"/>
      <c r="FV370" s="740"/>
      <c r="FW370" s="740"/>
      <c r="FX370" s="740"/>
      <c r="FY370" s="740"/>
      <c r="FZ370" s="740"/>
      <c r="GA370" s="740"/>
      <c r="GB370" s="740"/>
      <c r="GC370" s="740"/>
      <c r="GD370" s="740"/>
      <c r="GE370" s="740"/>
      <c r="GF370" s="740"/>
      <c r="GG370" s="740"/>
      <c r="GH370" s="740"/>
      <c r="GI370" s="740"/>
      <c r="GJ370" s="740"/>
      <c r="GK370" s="740"/>
      <c r="GL370" s="740"/>
      <c r="GM370" s="740"/>
      <c r="GN370" s="740"/>
      <c r="GO370" s="740"/>
      <c r="GP370" s="740"/>
      <c r="GQ370" s="740"/>
      <c r="GR370" s="740"/>
      <c r="GS370" s="740"/>
      <c r="GT370" s="740"/>
      <c r="GU370" s="740"/>
      <c r="GV370" s="740"/>
      <c r="GW370" s="740"/>
    </row>
    <row r="371" spans="18:205" ht="24" customHeight="1" x14ac:dyDescent="0.2">
      <c r="R371" s="740"/>
      <c r="S371" s="740"/>
      <c r="T371" s="740"/>
      <c r="U371" s="740"/>
      <c r="V371" s="740"/>
      <c r="W371" s="740"/>
      <c r="X371" s="740"/>
      <c r="Y371" s="740"/>
      <c r="Z371" s="740"/>
      <c r="AA371" s="740"/>
      <c r="AB371" s="740"/>
      <c r="AC371" s="740"/>
      <c r="AD371" s="740"/>
      <c r="AE371" s="740"/>
      <c r="AF371" s="740"/>
      <c r="AG371" s="740"/>
      <c r="AH371" s="740"/>
      <c r="AI371" s="740"/>
      <c r="AJ371" s="740"/>
      <c r="AK371" s="740"/>
      <c r="AL371" s="740"/>
      <c r="AM371" s="740"/>
      <c r="AN371" s="740"/>
      <c r="AO371" s="740"/>
      <c r="AP371" s="740"/>
      <c r="AQ371" s="740"/>
      <c r="AR371" s="740"/>
      <c r="AS371" s="740"/>
      <c r="AT371" s="740"/>
      <c r="AU371" s="740"/>
      <c r="AV371" s="740"/>
      <c r="AW371" s="740"/>
      <c r="AX371" s="740"/>
      <c r="AY371" s="740"/>
      <c r="AZ371" s="740"/>
      <c r="BA371" s="740"/>
      <c r="BB371" s="740"/>
      <c r="BC371" s="740"/>
      <c r="BD371" s="740"/>
      <c r="BE371" s="740"/>
      <c r="BF371" s="740"/>
      <c r="BG371" s="740"/>
      <c r="BH371" s="740"/>
      <c r="BI371" s="740"/>
      <c r="BJ371" s="740"/>
      <c r="BK371" s="740"/>
      <c r="BL371" s="740"/>
      <c r="BM371" s="740"/>
      <c r="BN371" s="740"/>
      <c r="BO371" s="740"/>
      <c r="BP371" s="740"/>
      <c r="BQ371" s="740"/>
      <c r="BR371" s="740"/>
      <c r="BS371" s="740"/>
      <c r="BT371" s="740"/>
      <c r="BU371" s="740"/>
      <c r="BV371" s="740"/>
      <c r="BW371" s="740"/>
      <c r="BX371" s="740"/>
      <c r="BY371" s="740"/>
      <c r="BZ371" s="740"/>
      <c r="CA371" s="740"/>
      <c r="CB371" s="740"/>
      <c r="CC371" s="740"/>
      <c r="CD371" s="740"/>
      <c r="CE371" s="740"/>
      <c r="CF371" s="740"/>
      <c r="CG371" s="740"/>
      <c r="CH371" s="740"/>
      <c r="CI371" s="740"/>
      <c r="CJ371" s="740"/>
      <c r="CK371" s="740"/>
      <c r="CL371" s="740"/>
      <c r="CM371" s="740"/>
      <c r="CN371" s="740"/>
      <c r="CO371" s="740"/>
      <c r="CP371" s="740"/>
      <c r="CQ371" s="740"/>
      <c r="CR371" s="740"/>
      <c r="CS371" s="740"/>
      <c r="CT371" s="740"/>
      <c r="CU371" s="740"/>
      <c r="CV371" s="740"/>
      <c r="CW371" s="740"/>
      <c r="CX371" s="740"/>
      <c r="CY371" s="740"/>
      <c r="CZ371" s="740"/>
      <c r="DA371" s="740"/>
      <c r="DB371" s="740"/>
      <c r="DC371" s="740"/>
      <c r="DD371" s="740"/>
      <c r="DE371" s="740"/>
      <c r="DF371" s="740"/>
      <c r="DG371" s="740"/>
      <c r="DH371" s="740"/>
      <c r="DI371" s="740"/>
      <c r="DJ371" s="740"/>
      <c r="DK371" s="740"/>
      <c r="DL371" s="740"/>
      <c r="DM371" s="740"/>
      <c r="DN371" s="740"/>
      <c r="DO371" s="740"/>
      <c r="DP371" s="740"/>
      <c r="DQ371" s="740"/>
      <c r="DR371" s="740"/>
      <c r="DS371" s="740"/>
      <c r="DT371" s="740"/>
      <c r="DU371" s="740"/>
      <c r="DV371" s="740"/>
      <c r="DW371" s="740"/>
      <c r="DX371" s="740"/>
      <c r="DY371" s="740"/>
      <c r="DZ371" s="740"/>
      <c r="EA371" s="740"/>
      <c r="EB371" s="740"/>
      <c r="EC371" s="740"/>
      <c r="ED371" s="740"/>
      <c r="EE371" s="740"/>
      <c r="EF371" s="740"/>
      <c r="EG371" s="740"/>
      <c r="EH371" s="740"/>
      <c r="EI371" s="740"/>
      <c r="EJ371" s="740"/>
      <c r="EK371" s="740"/>
      <c r="EL371" s="740"/>
      <c r="EM371" s="740"/>
      <c r="EN371" s="740"/>
      <c r="EO371" s="740"/>
      <c r="EP371" s="740"/>
      <c r="EQ371" s="740"/>
      <c r="ER371" s="740"/>
      <c r="ES371" s="740"/>
      <c r="ET371" s="740"/>
      <c r="EU371" s="740"/>
      <c r="EV371" s="740"/>
      <c r="EW371" s="740"/>
      <c r="EX371" s="740"/>
      <c r="EY371" s="740"/>
      <c r="EZ371" s="740"/>
      <c r="FA371" s="740"/>
      <c r="FB371" s="740"/>
      <c r="FC371" s="740"/>
      <c r="FD371" s="740"/>
      <c r="FE371" s="740"/>
      <c r="FF371" s="740"/>
      <c r="FG371" s="740"/>
      <c r="FH371" s="740"/>
      <c r="FI371" s="740"/>
      <c r="FJ371" s="740"/>
      <c r="FK371" s="740"/>
      <c r="FL371" s="740"/>
      <c r="FM371" s="740"/>
      <c r="FN371" s="740"/>
      <c r="FO371" s="740"/>
      <c r="FP371" s="740"/>
      <c r="FQ371" s="740"/>
      <c r="FR371" s="740"/>
      <c r="FS371" s="740"/>
      <c r="FT371" s="740"/>
      <c r="FU371" s="740"/>
      <c r="FV371" s="740"/>
      <c r="FW371" s="740"/>
      <c r="FX371" s="740"/>
      <c r="FY371" s="740"/>
      <c r="FZ371" s="740"/>
      <c r="GA371" s="740"/>
      <c r="GB371" s="740"/>
      <c r="GC371" s="740"/>
      <c r="GD371" s="740"/>
      <c r="GE371" s="740"/>
      <c r="GF371" s="740"/>
      <c r="GG371" s="740"/>
      <c r="GH371" s="740"/>
      <c r="GI371" s="740"/>
      <c r="GJ371" s="740"/>
      <c r="GK371" s="740"/>
      <c r="GL371" s="740"/>
      <c r="GM371" s="740"/>
      <c r="GN371" s="740"/>
      <c r="GO371" s="740"/>
      <c r="GP371" s="740"/>
      <c r="GQ371" s="740"/>
      <c r="GR371" s="740"/>
      <c r="GS371" s="740"/>
      <c r="GT371" s="740"/>
      <c r="GU371" s="740"/>
      <c r="GV371" s="740"/>
      <c r="GW371" s="740"/>
    </row>
    <row r="372" spans="18:205" ht="24" customHeight="1" x14ac:dyDescent="0.2">
      <c r="R372" s="740"/>
      <c r="S372" s="740"/>
      <c r="T372" s="740"/>
      <c r="U372" s="740"/>
      <c r="V372" s="740"/>
      <c r="W372" s="740"/>
      <c r="X372" s="740"/>
      <c r="Y372" s="740"/>
      <c r="Z372" s="740"/>
      <c r="AA372" s="740"/>
      <c r="AB372" s="740"/>
      <c r="AC372" s="740"/>
      <c r="AD372" s="740"/>
      <c r="AE372" s="740"/>
      <c r="AF372" s="740"/>
      <c r="AG372" s="740"/>
      <c r="AH372" s="740"/>
      <c r="AI372" s="740"/>
      <c r="AJ372" s="740"/>
      <c r="AK372" s="740"/>
      <c r="AL372" s="740"/>
      <c r="AM372" s="740"/>
      <c r="AN372" s="740"/>
      <c r="AO372" s="740"/>
      <c r="AP372" s="740"/>
      <c r="AQ372" s="740"/>
      <c r="AR372" s="740"/>
      <c r="AS372" s="740"/>
      <c r="AT372" s="740"/>
      <c r="AU372" s="740"/>
      <c r="AV372" s="740"/>
      <c r="AW372" s="740"/>
      <c r="AX372" s="740"/>
      <c r="AY372" s="740"/>
      <c r="AZ372" s="740"/>
      <c r="BA372" s="740"/>
      <c r="BB372" s="740"/>
      <c r="BC372" s="740"/>
      <c r="BD372" s="740"/>
      <c r="BE372" s="740"/>
      <c r="BF372" s="740"/>
      <c r="BG372" s="740"/>
      <c r="BH372" s="740"/>
      <c r="BI372" s="740"/>
      <c r="BJ372" s="740"/>
      <c r="BK372" s="740"/>
      <c r="BL372" s="740"/>
      <c r="BM372" s="740"/>
      <c r="BN372" s="740"/>
      <c r="BO372" s="740"/>
      <c r="BP372" s="740"/>
      <c r="BQ372" s="740"/>
      <c r="BR372" s="740"/>
      <c r="BS372" s="740"/>
      <c r="BT372" s="740"/>
      <c r="BU372" s="740"/>
      <c r="BV372" s="740"/>
      <c r="BW372" s="740"/>
      <c r="BX372" s="740"/>
      <c r="BY372" s="740"/>
      <c r="BZ372" s="740"/>
      <c r="CA372" s="740"/>
      <c r="CB372" s="740"/>
      <c r="CC372" s="740"/>
      <c r="CD372" s="740"/>
      <c r="CE372" s="740"/>
      <c r="CF372" s="740"/>
      <c r="CG372" s="740"/>
      <c r="CH372" s="740"/>
      <c r="CI372" s="740"/>
      <c r="CJ372" s="740"/>
      <c r="CK372" s="740"/>
      <c r="CL372" s="740"/>
      <c r="CM372" s="740"/>
      <c r="CN372" s="740"/>
      <c r="CO372" s="740"/>
      <c r="CP372" s="740"/>
      <c r="CQ372" s="740"/>
      <c r="CR372" s="740"/>
      <c r="CS372" s="740"/>
      <c r="CT372" s="740"/>
      <c r="CU372" s="740"/>
      <c r="CV372" s="740"/>
      <c r="CW372" s="740"/>
      <c r="CX372" s="740"/>
      <c r="CY372" s="740"/>
      <c r="CZ372" s="740"/>
      <c r="DA372" s="740"/>
      <c r="DB372" s="740"/>
      <c r="DC372" s="740"/>
      <c r="DD372" s="740"/>
      <c r="DE372" s="740"/>
      <c r="DF372" s="740"/>
      <c r="DG372" s="740"/>
      <c r="DH372" s="740"/>
      <c r="DI372" s="740"/>
      <c r="DJ372" s="740"/>
      <c r="DK372" s="740"/>
      <c r="DL372" s="740"/>
      <c r="DM372" s="740"/>
      <c r="DN372" s="740"/>
      <c r="DO372" s="740"/>
      <c r="DP372" s="740"/>
      <c r="DQ372" s="740"/>
      <c r="DR372" s="740"/>
      <c r="DS372" s="740"/>
      <c r="DT372" s="740"/>
      <c r="DU372" s="740"/>
      <c r="DV372" s="740"/>
      <c r="DW372" s="740"/>
      <c r="DX372" s="740"/>
      <c r="DY372" s="740"/>
      <c r="DZ372" s="740"/>
      <c r="EA372" s="740"/>
      <c r="EB372" s="740"/>
      <c r="EC372" s="740"/>
      <c r="ED372" s="740"/>
      <c r="EE372" s="740"/>
      <c r="EF372" s="740"/>
      <c r="EG372" s="740"/>
      <c r="EH372" s="740"/>
      <c r="EI372" s="740"/>
      <c r="EJ372" s="740"/>
      <c r="EK372" s="740"/>
      <c r="EL372" s="740"/>
      <c r="EM372" s="740"/>
      <c r="EN372" s="740"/>
      <c r="EO372" s="740"/>
      <c r="EP372" s="740"/>
      <c r="EQ372" s="740"/>
      <c r="ER372" s="740"/>
      <c r="ES372" s="740"/>
      <c r="ET372" s="740"/>
      <c r="EU372" s="740"/>
      <c r="EV372" s="740"/>
      <c r="EW372" s="740"/>
      <c r="EX372" s="740"/>
      <c r="EY372" s="740"/>
      <c r="EZ372" s="740"/>
      <c r="FA372" s="740"/>
      <c r="FB372" s="740"/>
      <c r="FC372" s="740"/>
      <c r="FD372" s="740"/>
      <c r="FE372" s="740"/>
      <c r="FF372" s="740"/>
      <c r="FG372" s="740"/>
      <c r="FH372" s="740"/>
      <c r="FI372" s="740"/>
      <c r="FJ372" s="740"/>
      <c r="FK372" s="740"/>
      <c r="FL372" s="740"/>
      <c r="FM372" s="740"/>
      <c r="FN372" s="740"/>
      <c r="FO372" s="740"/>
      <c r="FP372" s="740"/>
      <c r="FQ372" s="740"/>
      <c r="FR372" s="740"/>
      <c r="FS372" s="740"/>
      <c r="FT372" s="740"/>
      <c r="FU372" s="740"/>
      <c r="FV372" s="740"/>
      <c r="FW372" s="740"/>
      <c r="FX372" s="740"/>
      <c r="FY372" s="740"/>
      <c r="FZ372" s="740"/>
      <c r="GA372" s="740"/>
      <c r="GB372" s="740"/>
      <c r="GC372" s="740"/>
      <c r="GD372" s="740"/>
      <c r="GE372" s="740"/>
      <c r="GF372" s="740"/>
      <c r="GG372" s="740"/>
      <c r="GH372" s="740"/>
      <c r="GI372" s="740"/>
      <c r="GJ372" s="740"/>
      <c r="GK372" s="740"/>
      <c r="GL372" s="740"/>
      <c r="GM372" s="740"/>
      <c r="GN372" s="740"/>
      <c r="GO372" s="740"/>
      <c r="GP372" s="740"/>
      <c r="GQ372" s="740"/>
      <c r="GR372" s="740"/>
      <c r="GS372" s="740"/>
      <c r="GT372" s="740"/>
      <c r="GU372" s="740"/>
      <c r="GV372" s="740"/>
      <c r="GW372" s="740"/>
    </row>
    <row r="373" spans="18:205" ht="24" customHeight="1" x14ac:dyDescent="0.2">
      <c r="R373" s="740"/>
      <c r="S373" s="740"/>
      <c r="T373" s="740"/>
      <c r="U373" s="740"/>
      <c r="V373" s="740"/>
      <c r="W373" s="740"/>
      <c r="X373" s="740"/>
      <c r="Y373" s="740"/>
      <c r="Z373" s="740"/>
      <c r="AA373" s="740"/>
      <c r="AB373" s="740"/>
      <c r="AC373" s="740"/>
      <c r="AD373" s="740"/>
      <c r="AE373" s="740"/>
      <c r="AF373" s="740"/>
      <c r="AG373" s="740"/>
      <c r="AH373" s="740"/>
      <c r="AI373" s="740"/>
      <c r="AJ373" s="740"/>
      <c r="AK373" s="740"/>
      <c r="AL373" s="740"/>
      <c r="AM373" s="740"/>
      <c r="AN373" s="740"/>
      <c r="AO373" s="740"/>
      <c r="AP373" s="740"/>
      <c r="AQ373" s="740"/>
      <c r="AR373" s="740"/>
      <c r="AS373" s="740"/>
      <c r="AT373" s="740"/>
      <c r="AU373" s="740"/>
      <c r="AV373" s="740"/>
      <c r="AW373" s="740"/>
      <c r="AX373" s="740"/>
      <c r="AY373" s="740"/>
      <c r="AZ373" s="740"/>
      <c r="BA373" s="740"/>
      <c r="BB373" s="740"/>
      <c r="BC373" s="740"/>
      <c r="BD373" s="740"/>
      <c r="BE373" s="740"/>
      <c r="BF373" s="740"/>
      <c r="BG373" s="740"/>
      <c r="BH373" s="740"/>
      <c r="BI373" s="740"/>
      <c r="BJ373" s="740"/>
      <c r="BK373" s="740"/>
      <c r="BL373" s="740"/>
      <c r="BM373" s="740"/>
      <c r="BN373" s="740"/>
      <c r="BO373" s="740"/>
      <c r="BP373" s="740"/>
      <c r="BQ373" s="740"/>
      <c r="BR373" s="740"/>
      <c r="BS373" s="740"/>
      <c r="BT373" s="740"/>
      <c r="BU373" s="740"/>
      <c r="BV373" s="740"/>
      <c r="BW373" s="740"/>
      <c r="BX373" s="740"/>
      <c r="BY373" s="740"/>
      <c r="BZ373" s="740"/>
      <c r="CA373" s="740"/>
      <c r="CB373" s="740"/>
      <c r="CC373" s="740"/>
      <c r="CD373" s="740"/>
      <c r="CE373" s="740"/>
      <c r="CF373" s="740"/>
      <c r="CG373" s="740"/>
      <c r="CH373" s="740"/>
      <c r="CI373" s="740"/>
      <c r="CJ373" s="740"/>
      <c r="CK373" s="740"/>
      <c r="CL373" s="740"/>
      <c r="CM373" s="740"/>
      <c r="CN373" s="740"/>
      <c r="CO373" s="740"/>
      <c r="CP373" s="740"/>
      <c r="CQ373" s="740"/>
      <c r="CR373" s="740"/>
      <c r="CS373" s="740"/>
      <c r="CT373" s="740"/>
      <c r="CU373" s="740"/>
      <c r="CV373" s="740"/>
      <c r="CW373" s="740"/>
      <c r="CX373" s="740"/>
      <c r="CY373" s="740"/>
      <c r="CZ373" s="740"/>
      <c r="DA373" s="740"/>
      <c r="DB373" s="740"/>
      <c r="DC373" s="740"/>
      <c r="DD373" s="740"/>
      <c r="DE373" s="740"/>
      <c r="DF373" s="740"/>
      <c r="DG373" s="740"/>
      <c r="DH373" s="740"/>
      <c r="DI373" s="740"/>
      <c r="DJ373" s="740"/>
      <c r="DK373" s="740"/>
      <c r="DL373" s="740"/>
      <c r="DM373" s="740"/>
      <c r="DN373" s="740"/>
      <c r="DO373" s="740"/>
      <c r="DP373" s="740"/>
      <c r="DQ373" s="740"/>
      <c r="DR373" s="740"/>
      <c r="DS373" s="740"/>
      <c r="DT373" s="740"/>
      <c r="DU373" s="740"/>
      <c r="DV373" s="740"/>
      <c r="DW373" s="740"/>
      <c r="DX373" s="740"/>
      <c r="DY373" s="740"/>
      <c r="DZ373" s="740"/>
      <c r="EA373" s="740"/>
      <c r="EB373" s="740"/>
      <c r="EC373" s="740"/>
      <c r="ED373" s="740"/>
      <c r="EE373" s="740"/>
      <c r="EF373" s="740"/>
      <c r="EG373" s="740"/>
      <c r="EH373" s="740"/>
      <c r="EI373" s="740"/>
      <c r="EJ373" s="740"/>
      <c r="EK373" s="740"/>
      <c r="EL373" s="740"/>
      <c r="EM373" s="740"/>
      <c r="EN373" s="740"/>
      <c r="EO373" s="740"/>
      <c r="EP373" s="740"/>
      <c r="EQ373" s="740"/>
      <c r="ER373" s="740"/>
      <c r="ES373" s="740"/>
      <c r="ET373" s="740"/>
      <c r="EU373" s="740"/>
      <c r="EV373" s="740"/>
      <c r="EW373" s="740"/>
      <c r="EX373" s="740"/>
      <c r="EY373" s="740"/>
      <c r="EZ373" s="740"/>
      <c r="FA373" s="740"/>
      <c r="FB373" s="740"/>
      <c r="FC373" s="740"/>
      <c r="FD373" s="740"/>
      <c r="FE373" s="740"/>
      <c r="FF373" s="740"/>
      <c r="FG373" s="740"/>
      <c r="FH373" s="740"/>
      <c r="FI373" s="740"/>
      <c r="FJ373" s="740"/>
      <c r="FK373" s="740"/>
      <c r="FL373" s="740"/>
      <c r="FM373" s="740"/>
      <c r="FN373" s="740"/>
      <c r="FO373" s="740"/>
      <c r="FP373" s="740"/>
      <c r="FQ373" s="740"/>
      <c r="FR373" s="740"/>
      <c r="FS373" s="740"/>
      <c r="FT373" s="740"/>
      <c r="FU373" s="740"/>
      <c r="FV373" s="740"/>
      <c r="FW373" s="740"/>
      <c r="FX373" s="740"/>
      <c r="FY373" s="740"/>
      <c r="FZ373" s="740"/>
      <c r="GA373" s="740"/>
      <c r="GB373" s="740"/>
      <c r="GC373" s="740"/>
      <c r="GD373" s="740"/>
      <c r="GE373" s="740"/>
      <c r="GF373" s="740"/>
      <c r="GG373" s="740"/>
      <c r="GH373" s="740"/>
      <c r="GI373" s="740"/>
      <c r="GJ373" s="740"/>
      <c r="GK373" s="740"/>
      <c r="GL373" s="740"/>
      <c r="GM373" s="740"/>
      <c r="GN373" s="740"/>
      <c r="GO373" s="740"/>
      <c r="GP373" s="740"/>
      <c r="GQ373" s="740"/>
      <c r="GR373" s="740"/>
      <c r="GS373" s="740"/>
      <c r="GT373" s="740"/>
      <c r="GU373" s="740"/>
      <c r="GV373" s="740"/>
      <c r="GW373" s="740"/>
    </row>
    <row r="374" spans="18:205" ht="24" customHeight="1" x14ac:dyDescent="0.2">
      <c r="R374" s="740"/>
      <c r="S374" s="740"/>
      <c r="T374" s="740"/>
      <c r="U374" s="740"/>
      <c r="V374" s="740"/>
      <c r="W374" s="740"/>
      <c r="X374" s="740"/>
      <c r="Y374" s="740"/>
      <c r="Z374" s="740"/>
      <c r="AA374" s="740"/>
      <c r="AB374" s="740"/>
      <c r="AC374" s="740"/>
      <c r="AD374" s="740"/>
      <c r="AE374" s="740"/>
      <c r="AF374" s="740"/>
      <c r="AG374" s="740"/>
      <c r="AH374" s="740"/>
      <c r="AI374" s="740"/>
      <c r="AJ374" s="740"/>
      <c r="AK374" s="740"/>
      <c r="AL374" s="740"/>
      <c r="AM374" s="740"/>
      <c r="AN374" s="740"/>
      <c r="AO374" s="740"/>
      <c r="AP374" s="740"/>
      <c r="AQ374" s="740"/>
      <c r="AR374" s="740"/>
      <c r="AS374" s="740"/>
      <c r="AT374" s="740"/>
      <c r="AU374" s="740"/>
      <c r="AV374" s="740"/>
      <c r="AW374" s="740"/>
      <c r="AX374" s="740"/>
      <c r="AY374" s="740"/>
      <c r="AZ374" s="740"/>
      <c r="BA374" s="740"/>
      <c r="BB374" s="740"/>
      <c r="BC374" s="740"/>
      <c r="BD374" s="740"/>
      <c r="BE374" s="740"/>
      <c r="BF374" s="740"/>
      <c r="BG374" s="740"/>
      <c r="BH374" s="740"/>
      <c r="BI374" s="740"/>
      <c r="BJ374" s="740"/>
      <c r="BK374" s="740"/>
      <c r="BL374" s="740"/>
      <c r="BM374" s="740"/>
      <c r="BN374" s="740"/>
      <c r="BO374" s="740"/>
      <c r="BP374" s="740"/>
      <c r="BQ374" s="740"/>
      <c r="BR374" s="740"/>
      <c r="BS374" s="740"/>
      <c r="BT374" s="740"/>
      <c r="BU374" s="740"/>
      <c r="BV374" s="740"/>
      <c r="BW374" s="740"/>
      <c r="BX374" s="740"/>
      <c r="BY374" s="740"/>
      <c r="BZ374" s="740"/>
      <c r="CA374" s="740"/>
      <c r="CB374" s="740"/>
      <c r="CC374" s="740"/>
      <c r="CD374" s="740"/>
      <c r="CE374" s="740"/>
      <c r="CF374" s="740"/>
      <c r="CG374" s="740"/>
      <c r="CH374" s="740"/>
      <c r="CI374" s="740"/>
      <c r="CJ374" s="740"/>
      <c r="CK374" s="740"/>
      <c r="CL374" s="740"/>
      <c r="CM374" s="740"/>
      <c r="CN374" s="740"/>
      <c r="CO374" s="740"/>
      <c r="CP374" s="740"/>
      <c r="CQ374" s="740"/>
      <c r="CR374" s="740"/>
      <c r="CS374" s="740"/>
      <c r="CT374" s="740"/>
      <c r="CU374" s="740"/>
      <c r="CV374" s="740"/>
      <c r="CW374" s="740"/>
      <c r="CX374" s="740"/>
      <c r="CY374" s="740"/>
      <c r="CZ374" s="740"/>
      <c r="DA374" s="740"/>
      <c r="DB374" s="740"/>
      <c r="DC374" s="740"/>
      <c r="DD374" s="740"/>
      <c r="DE374" s="740"/>
      <c r="DF374" s="740"/>
      <c r="DG374" s="740"/>
      <c r="DH374" s="740"/>
      <c r="DI374" s="740"/>
      <c r="DJ374" s="740"/>
      <c r="DK374" s="740"/>
      <c r="DL374" s="740"/>
      <c r="DM374" s="740"/>
      <c r="DN374" s="740"/>
      <c r="DO374" s="740"/>
      <c r="DP374" s="740"/>
      <c r="DQ374" s="740"/>
      <c r="DR374" s="740"/>
      <c r="DS374" s="740"/>
      <c r="DT374" s="740"/>
      <c r="DU374" s="740"/>
      <c r="DV374" s="740"/>
      <c r="DW374" s="740"/>
      <c r="DX374" s="740"/>
      <c r="DY374" s="740"/>
      <c r="DZ374" s="740"/>
      <c r="EA374" s="740"/>
      <c r="EB374" s="740"/>
      <c r="EC374" s="740"/>
      <c r="ED374" s="740"/>
      <c r="EE374" s="740"/>
      <c r="EF374" s="740"/>
      <c r="EG374" s="740"/>
      <c r="EH374" s="740"/>
      <c r="EI374" s="740"/>
      <c r="EJ374" s="740"/>
      <c r="EK374" s="740"/>
      <c r="EL374" s="740"/>
      <c r="EM374" s="740"/>
      <c r="EN374" s="740"/>
      <c r="EO374" s="740"/>
      <c r="EP374" s="740"/>
      <c r="EQ374" s="740"/>
      <c r="ER374" s="740"/>
      <c r="ES374" s="740"/>
      <c r="ET374" s="740"/>
      <c r="EU374" s="740"/>
      <c r="EV374" s="740"/>
      <c r="EW374" s="740"/>
      <c r="EX374" s="740"/>
      <c r="EY374" s="740"/>
      <c r="EZ374" s="740"/>
      <c r="FA374" s="740"/>
      <c r="FB374" s="740"/>
      <c r="FC374" s="740"/>
      <c r="FD374" s="740"/>
      <c r="FE374" s="740"/>
      <c r="FF374" s="740"/>
      <c r="FG374" s="740"/>
      <c r="FH374" s="740"/>
      <c r="FI374" s="740"/>
      <c r="FJ374" s="740"/>
      <c r="FK374" s="740"/>
      <c r="FL374" s="740"/>
      <c r="FM374" s="740"/>
      <c r="FN374" s="740"/>
      <c r="FO374" s="740"/>
      <c r="FP374" s="740"/>
      <c r="FQ374" s="740"/>
      <c r="FR374" s="740"/>
      <c r="FS374" s="740"/>
      <c r="FT374" s="740"/>
      <c r="FU374" s="740"/>
      <c r="FV374" s="740"/>
      <c r="FW374" s="740"/>
      <c r="FX374" s="740"/>
      <c r="FY374" s="740"/>
      <c r="FZ374" s="740"/>
      <c r="GA374" s="740"/>
      <c r="GB374" s="740"/>
      <c r="GC374" s="740"/>
      <c r="GD374" s="740"/>
      <c r="GE374" s="740"/>
      <c r="GF374" s="740"/>
      <c r="GG374" s="740"/>
      <c r="GH374" s="740"/>
      <c r="GI374" s="740"/>
      <c r="GJ374" s="740"/>
      <c r="GK374" s="740"/>
      <c r="GL374" s="740"/>
      <c r="GM374" s="740"/>
      <c r="GN374" s="740"/>
      <c r="GO374" s="740"/>
      <c r="GP374" s="740"/>
      <c r="GQ374" s="740"/>
      <c r="GR374" s="740"/>
      <c r="GS374" s="740"/>
      <c r="GT374" s="740"/>
      <c r="GU374" s="740"/>
      <c r="GV374" s="740"/>
      <c r="GW374" s="740"/>
    </row>
    <row r="375" spans="18:205" ht="24" customHeight="1" x14ac:dyDescent="0.2">
      <c r="R375" s="740"/>
      <c r="S375" s="740"/>
      <c r="T375" s="740"/>
      <c r="U375" s="740"/>
      <c r="V375" s="740"/>
      <c r="W375" s="740"/>
      <c r="X375" s="740"/>
      <c r="Y375" s="740"/>
      <c r="Z375" s="740"/>
      <c r="AA375" s="740"/>
      <c r="AB375" s="740"/>
      <c r="AC375" s="740"/>
      <c r="AD375" s="740"/>
      <c r="AE375" s="740"/>
      <c r="AF375" s="740"/>
      <c r="AG375" s="740"/>
      <c r="AH375" s="740"/>
      <c r="AI375" s="740"/>
      <c r="AJ375" s="740"/>
      <c r="AK375" s="740"/>
      <c r="AL375" s="740"/>
      <c r="AM375" s="740"/>
      <c r="AN375" s="740"/>
      <c r="AO375" s="740"/>
      <c r="AP375" s="740"/>
      <c r="AQ375" s="740"/>
      <c r="AR375" s="740"/>
      <c r="AS375" s="740"/>
      <c r="AT375" s="740"/>
      <c r="AU375" s="740"/>
      <c r="AV375" s="740"/>
      <c r="AW375" s="740"/>
      <c r="AX375" s="740"/>
      <c r="AY375" s="740"/>
      <c r="AZ375" s="740"/>
      <c r="BA375" s="740"/>
      <c r="BB375" s="740"/>
      <c r="BC375" s="740"/>
      <c r="BD375" s="740"/>
      <c r="BE375" s="740"/>
      <c r="BF375" s="740"/>
      <c r="BG375" s="740"/>
      <c r="BH375" s="740"/>
      <c r="BI375" s="740"/>
      <c r="BJ375" s="740"/>
      <c r="BK375" s="740"/>
      <c r="BL375" s="740"/>
      <c r="BM375" s="740"/>
      <c r="BN375" s="740"/>
      <c r="BO375" s="740"/>
      <c r="BP375" s="740"/>
      <c r="BQ375" s="740"/>
      <c r="BR375" s="740"/>
      <c r="BS375" s="740"/>
      <c r="BT375" s="740"/>
      <c r="BU375" s="740"/>
      <c r="BV375" s="740"/>
      <c r="BW375" s="740"/>
      <c r="BX375" s="740"/>
      <c r="BY375" s="740"/>
      <c r="BZ375" s="740"/>
      <c r="CA375" s="740"/>
      <c r="CB375" s="740"/>
      <c r="CC375" s="740"/>
      <c r="CD375" s="740"/>
      <c r="CE375" s="740"/>
      <c r="CF375" s="740"/>
      <c r="CG375" s="740"/>
      <c r="CH375" s="740"/>
      <c r="CI375" s="740"/>
      <c r="CJ375" s="740"/>
      <c r="CK375" s="740"/>
      <c r="CL375" s="740"/>
      <c r="CM375" s="740"/>
      <c r="CN375" s="740"/>
      <c r="CO375" s="740"/>
      <c r="CP375" s="740"/>
      <c r="CQ375" s="740"/>
      <c r="CR375" s="740"/>
      <c r="CS375" s="740"/>
      <c r="CT375" s="740"/>
      <c r="CU375" s="740"/>
      <c r="CV375" s="740"/>
      <c r="CW375" s="740"/>
      <c r="CX375" s="740"/>
      <c r="CY375" s="740"/>
      <c r="CZ375" s="740"/>
      <c r="DA375" s="740"/>
      <c r="DB375" s="740"/>
      <c r="DC375" s="740"/>
      <c r="DD375" s="740"/>
      <c r="DE375" s="740"/>
      <c r="DF375" s="740"/>
      <c r="DG375" s="740"/>
      <c r="DH375" s="740"/>
      <c r="DI375" s="740"/>
      <c r="DJ375" s="740"/>
      <c r="DK375" s="740"/>
      <c r="DL375" s="740"/>
      <c r="DM375" s="740"/>
      <c r="DN375" s="740"/>
      <c r="DO375" s="740"/>
      <c r="DP375" s="740"/>
      <c r="DQ375" s="740"/>
      <c r="DR375" s="740"/>
      <c r="DS375" s="740"/>
      <c r="DT375" s="740"/>
      <c r="DU375" s="740"/>
      <c r="DV375" s="740"/>
      <c r="DW375" s="740"/>
      <c r="DX375" s="740"/>
      <c r="DY375" s="740"/>
      <c r="DZ375" s="740"/>
      <c r="EA375" s="740"/>
      <c r="EB375" s="740"/>
      <c r="EC375" s="740"/>
      <c r="ED375" s="740"/>
      <c r="EE375" s="740"/>
      <c r="EF375" s="740"/>
      <c r="EG375" s="740"/>
      <c r="EH375" s="740"/>
      <c r="EI375" s="740"/>
      <c r="EJ375" s="740"/>
      <c r="EK375" s="740"/>
      <c r="EL375" s="740"/>
      <c r="EM375" s="740"/>
      <c r="EN375" s="740"/>
      <c r="EO375" s="740"/>
      <c r="EP375" s="740"/>
      <c r="EQ375" s="740"/>
      <c r="ER375" s="740"/>
      <c r="ES375" s="740"/>
      <c r="ET375" s="740"/>
      <c r="EU375" s="740"/>
      <c r="EV375" s="740"/>
      <c r="EW375" s="740"/>
      <c r="EX375" s="740"/>
      <c r="EY375" s="740"/>
      <c r="EZ375" s="740"/>
      <c r="FA375" s="740"/>
      <c r="FB375" s="740"/>
      <c r="FC375" s="740"/>
      <c r="FD375" s="740"/>
      <c r="FE375" s="740"/>
      <c r="FF375" s="740"/>
      <c r="FG375" s="740"/>
      <c r="FH375" s="740"/>
      <c r="FI375" s="740"/>
      <c r="FJ375" s="740"/>
      <c r="FK375" s="740"/>
      <c r="FL375" s="740"/>
      <c r="FM375" s="740"/>
      <c r="FN375" s="740"/>
      <c r="FO375" s="740"/>
      <c r="FP375" s="740"/>
      <c r="FQ375" s="740"/>
      <c r="FR375" s="740"/>
      <c r="FS375" s="740"/>
      <c r="FT375" s="740"/>
      <c r="FU375" s="740"/>
      <c r="FV375" s="740"/>
      <c r="FW375" s="740"/>
      <c r="FX375" s="740"/>
      <c r="FY375" s="740"/>
      <c r="FZ375" s="740"/>
      <c r="GA375" s="740"/>
      <c r="GB375" s="740"/>
      <c r="GC375" s="740"/>
      <c r="GD375" s="740"/>
      <c r="GE375" s="740"/>
      <c r="GF375" s="740"/>
      <c r="GG375" s="740"/>
      <c r="GH375" s="740"/>
      <c r="GI375" s="740"/>
      <c r="GJ375" s="740"/>
      <c r="GK375" s="740"/>
      <c r="GL375" s="740"/>
      <c r="GM375" s="740"/>
      <c r="GN375" s="740"/>
      <c r="GO375" s="740"/>
      <c r="GP375" s="740"/>
      <c r="GQ375" s="740"/>
      <c r="GR375" s="740"/>
      <c r="GS375" s="740"/>
      <c r="GT375" s="740"/>
      <c r="GU375" s="740"/>
      <c r="GV375" s="740"/>
      <c r="GW375" s="740"/>
    </row>
    <row r="376" spans="18:205" ht="24" customHeight="1" x14ac:dyDescent="0.2">
      <c r="R376" s="740"/>
      <c r="S376" s="740"/>
      <c r="T376" s="740"/>
      <c r="U376" s="740"/>
      <c r="V376" s="740"/>
      <c r="W376" s="740"/>
      <c r="X376" s="740"/>
      <c r="Y376" s="740"/>
      <c r="Z376" s="740"/>
      <c r="AA376" s="740"/>
      <c r="AB376" s="740"/>
      <c r="AC376" s="740"/>
      <c r="AD376" s="740"/>
      <c r="AE376" s="740"/>
      <c r="AF376" s="740"/>
      <c r="AG376" s="740"/>
      <c r="AH376" s="740"/>
      <c r="AI376" s="740"/>
      <c r="AJ376" s="740"/>
      <c r="AK376" s="740"/>
      <c r="AL376" s="740"/>
      <c r="AM376" s="740"/>
      <c r="AN376" s="740"/>
      <c r="AO376" s="740"/>
      <c r="AP376" s="740"/>
      <c r="AQ376" s="740"/>
      <c r="AR376" s="740"/>
      <c r="AS376" s="740"/>
      <c r="AT376" s="740"/>
      <c r="AU376" s="740"/>
      <c r="AV376" s="740"/>
      <c r="AW376" s="740"/>
      <c r="AX376" s="740"/>
      <c r="AY376" s="740"/>
      <c r="AZ376" s="740"/>
      <c r="BA376" s="740"/>
      <c r="BB376" s="740"/>
      <c r="BC376" s="740"/>
      <c r="BD376" s="740"/>
      <c r="BE376" s="740"/>
      <c r="BF376" s="740"/>
      <c r="BG376" s="740"/>
      <c r="BH376" s="740"/>
      <c r="BI376" s="740"/>
      <c r="BJ376" s="740"/>
      <c r="BK376" s="740"/>
      <c r="BL376" s="740"/>
      <c r="BM376" s="740"/>
      <c r="BN376" s="740"/>
      <c r="BO376" s="740"/>
      <c r="BP376" s="740"/>
      <c r="BQ376" s="740"/>
      <c r="BR376" s="740"/>
      <c r="BS376" s="740"/>
      <c r="BT376" s="740"/>
      <c r="BU376" s="740"/>
      <c r="BV376" s="740"/>
      <c r="BW376" s="740"/>
      <c r="BX376" s="740"/>
      <c r="BY376" s="740"/>
      <c r="BZ376" s="740"/>
      <c r="CA376" s="740"/>
      <c r="CB376" s="740"/>
      <c r="CC376" s="740"/>
      <c r="CD376" s="740"/>
      <c r="CE376" s="740"/>
      <c r="CF376" s="740"/>
      <c r="CG376" s="740"/>
      <c r="CH376" s="740"/>
      <c r="CI376" s="740"/>
      <c r="CJ376" s="740"/>
      <c r="CK376" s="740"/>
      <c r="CL376" s="740"/>
      <c r="CM376" s="740"/>
      <c r="CN376" s="740"/>
      <c r="CO376" s="740"/>
      <c r="CP376" s="740"/>
      <c r="CQ376" s="740"/>
      <c r="CR376" s="740"/>
      <c r="CS376" s="740"/>
      <c r="CT376" s="740"/>
      <c r="CU376" s="740"/>
      <c r="CV376" s="740"/>
      <c r="CW376" s="740"/>
      <c r="CX376" s="740"/>
      <c r="CY376" s="740"/>
      <c r="CZ376" s="740"/>
      <c r="DA376" s="740"/>
      <c r="DB376" s="740"/>
      <c r="DC376" s="740"/>
      <c r="DD376" s="740"/>
      <c r="DE376" s="740"/>
      <c r="DF376" s="740"/>
      <c r="DG376" s="740"/>
      <c r="DH376" s="740"/>
      <c r="DI376" s="740"/>
      <c r="DJ376" s="740"/>
      <c r="DK376" s="740"/>
      <c r="DL376" s="740"/>
      <c r="DM376" s="740"/>
      <c r="DN376" s="740"/>
      <c r="DO376" s="740"/>
      <c r="DP376" s="740"/>
      <c r="DQ376" s="740"/>
      <c r="DR376" s="740"/>
      <c r="DS376" s="740"/>
      <c r="DT376" s="740"/>
      <c r="DU376" s="740"/>
      <c r="DV376" s="740"/>
      <c r="DW376" s="740"/>
      <c r="DX376" s="740"/>
      <c r="DY376" s="740"/>
      <c r="DZ376" s="740"/>
      <c r="EA376" s="740"/>
      <c r="EB376" s="740"/>
      <c r="EC376" s="740"/>
      <c r="ED376" s="740"/>
      <c r="EE376" s="740"/>
      <c r="EF376" s="740"/>
      <c r="EG376" s="740"/>
      <c r="EH376" s="740"/>
      <c r="EI376" s="740"/>
      <c r="EJ376" s="740"/>
      <c r="EK376" s="740"/>
      <c r="EL376" s="740"/>
      <c r="EM376" s="740"/>
      <c r="EN376" s="740"/>
      <c r="EO376" s="740"/>
      <c r="EP376" s="740"/>
      <c r="EQ376" s="740"/>
      <c r="ER376" s="740"/>
      <c r="ES376" s="740"/>
      <c r="ET376" s="740"/>
      <c r="EU376" s="740"/>
      <c r="EV376" s="740"/>
      <c r="EW376" s="740"/>
      <c r="EX376" s="740"/>
      <c r="EY376" s="740"/>
      <c r="EZ376" s="740"/>
      <c r="FA376" s="740"/>
      <c r="FB376" s="740"/>
      <c r="FC376" s="740"/>
      <c r="FD376" s="740"/>
      <c r="FE376" s="740"/>
      <c r="FF376" s="740"/>
      <c r="FG376" s="740"/>
      <c r="FH376" s="740"/>
      <c r="FI376" s="740"/>
      <c r="FJ376" s="740"/>
      <c r="FK376" s="740"/>
      <c r="FL376" s="740"/>
      <c r="FM376" s="740"/>
      <c r="FN376" s="740"/>
      <c r="FO376" s="740"/>
      <c r="FP376" s="740"/>
      <c r="FQ376" s="740"/>
      <c r="FR376" s="740"/>
      <c r="FS376" s="740"/>
      <c r="FT376" s="740"/>
      <c r="FU376" s="740"/>
      <c r="FV376" s="740"/>
      <c r="FW376" s="740"/>
      <c r="FX376" s="740"/>
      <c r="FY376" s="740"/>
      <c r="FZ376" s="740"/>
      <c r="GA376" s="740"/>
      <c r="GB376" s="740"/>
      <c r="GC376" s="740"/>
      <c r="GD376" s="740"/>
      <c r="GE376" s="740"/>
      <c r="GF376" s="740"/>
      <c r="GG376" s="740"/>
      <c r="GH376" s="740"/>
      <c r="GI376" s="740"/>
      <c r="GJ376" s="740"/>
      <c r="GK376" s="740"/>
      <c r="GL376" s="740"/>
      <c r="GM376" s="740"/>
      <c r="GN376" s="740"/>
      <c r="GO376" s="740"/>
      <c r="GP376" s="740"/>
      <c r="GQ376" s="740"/>
      <c r="GR376" s="740"/>
      <c r="GS376" s="740"/>
      <c r="GT376" s="740"/>
      <c r="GU376" s="740"/>
      <c r="GV376" s="740"/>
      <c r="GW376" s="740"/>
    </row>
    <row r="377" spans="18:205" ht="24" customHeight="1" x14ac:dyDescent="0.2">
      <c r="R377" s="740"/>
      <c r="S377" s="740"/>
      <c r="T377" s="740"/>
      <c r="U377" s="740"/>
      <c r="V377" s="740"/>
      <c r="W377" s="740"/>
      <c r="X377" s="740"/>
      <c r="Y377" s="740"/>
      <c r="Z377" s="740"/>
      <c r="AA377" s="740"/>
      <c r="AB377" s="740"/>
      <c r="AC377" s="740"/>
      <c r="AD377" s="740"/>
      <c r="AE377" s="740"/>
      <c r="AF377" s="740"/>
      <c r="AG377" s="740"/>
      <c r="AH377" s="740"/>
      <c r="AI377" s="740"/>
      <c r="AJ377" s="740"/>
      <c r="AK377" s="740"/>
      <c r="AL377" s="740"/>
      <c r="AM377" s="740"/>
      <c r="AN377" s="740"/>
      <c r="AO377" s="740"/>
      <c r="AP377" s="740"/>
      <c r="AQ377" s="740"/>
      <c r="AR377" s="740"/>
      <c r="AS377" s="740"/>
      <c r="AT377" s="740"/>
      <c r="AU377" s="740"/>
      <c r="AV377" s="740"/>
      <c r="AW377" s="740"/>
      <c r="AX377" s="740"/>
      <c r="AY377" s="740"/>
      <c r="AZ377" s="740"/>
      <c r="BA377" s="740"/>
      <c r="BB377" s="740"/>
      <c r="BC377" s="740"/>
      <c r="BD377" s="740"/>
      <c r="BE377" s="740"/>
      <c r="BF377" s="740"/>
      <c r="BG377" s="740"/>
      <c r="BH377" s="740"/>
      <c r="BI377" s="740"/>
      <c r="BJ377" s="740"/>
      <c r="BK377" s="740"/>
      <c r="BL377" s="740"/>
      <c r="BM377" s="740"/>
      <c r="BN377" s="740"/>
      <c r="BO377" s="740"/>
      <c r="BP377" s="740"/>
      <c r="BQ377" s="740"/>
      <c r="BR377" s="740"/>
      <c r="BS377" s="740"/>
      <c r="BT377" s="740"/>
      <c r="BU377" s="740"/>
      <c r="BV377" s="740"/>
      <c r="BW377" s="740"/>
      <c r="BX377" s="740"/>
      <c r="BY377" s="740"/>
      <c r="BZ377" s="740"/>
      <c r="CA377" s="740"/>
      <c r="CB377" s="740"/>
      <c r="CC377" s="740"/>
      <c r="CD377" s="740"/>
      <c r="CE377" s="740"/>
      <c r="CF377" s="740"/>
      <c r="CG377" s="740"/>
      <c r="CH377" s="740"/>
      <c r="CI377" s="740"/>
      <c r="CJ377" s="740"/>
      <c r="CK377" s="740"/>
      <c r="CL377" s="740"/>
      <c r="CM377" s="740"/>
      <c r="CN377" s="740"/>
      <c r="CO377" s="740"/>
      <c r="CP377" s="740"/>
      <c r="CQ377" s="740"/>
      <c r="CR377" s="740"/>
      <c r="CS377" s="740"/>
      <c r="CT377" s="740"/>
      <c r="CU377" s="740"/>
      <c r="CV377" s="740"/>
      <c r="CW377" s="740"/>
      <c r="CX377" s="740"/>
      <c r="CY377" s="740"/>
      <c r="CZ377" s="740"/>
      <c r="DA377" s="740"/>
      <c r="DB377" s="740"/>
      <c r="DC377" s="740"/>
      <c r="DD377" s="740"/>
      <c r="DE377" s="740"/>
      <c r="DF377" s="740"/>
      <c r="DG377" s="740"/>
      <c r="DH377" s="740"/>
      <c r="DI377" s="740"/>
      <c r="DJ377" s="740"/>
      <c r="DK377" s="740"/>
      <c r="DL377" s="740"/>
      <c r="DM377" s="740"/>
      <c r="DN377" s="740"/>
      <c r="DO377" s="740"/>
      <c r="DP377" s="740"/>
      <c r="DQ377" s="740"/>
      <c r="DR377" s="740"/>
      <c r="DS377" s="740"/>
      <c r="DT377" s="740"/>
      <c r="DU377" s="740"/>
      <c r="DV377" s="740"/>
      <c r="DW377" s="740"/>
      <c r="DX377" s="740"/>
      <c r="DY377" s="740"/>
      <c r="DZ377" s="740"/>
      <c r="EA377" s="740"/>
      <c r="EB377" s="740"/>
      <c r="EC377" s="740"/>
      <c r="ED377" s="740"/>
      <c r="EE377" s="740"/>
      <c r="EF377" s="740"/>
      <c r="EG377" s="740"/>
      <c r="EH377" s="740"/>
      <c r="EI377" s="740"/>
      <c r="EJ377" s="740"/>
      <c r="EK377" s="740"/>
      <c r="EL377" s="740"/>
      <c r="EM377" s="740"/>
      <c r="EN377" s="740"/>
      <c r="EO377" s="740"/>
      <c r="EP377" s="740"/>
      <c r="EQ377" s="740"/>
      <c r="ER377" s="740"/>
      <c r="ES377" s="740"/>
      <c r="ET377" s="740"/>
      <c r="EU377" s="740"/>
      <c r="EV377" s="740"/>
      <c r="EW377" s="740"/>
      <c r="EX377" s="740"/>
      <c r="EY377" s="740"/>
      <c r="EZ377" s="740"/>
      <c r="FA377" s="740"/>
      <c r="FB377" s="740"/>
      <c r="FC377" s="740"/>
      <c r="FD377" s="740"/>
      <c r="FE377" s="740"/>
      <c r="FF377" s="740"/>
      <c r="FG377" s="740"/>
      <c r="FH377" s="740"/>
      <c r="FI377" s="740"/>
      <c r="FJ377" s="740"/>
      <c r="FK377" s="740"/>
      <c r="FL377" s="740"/>
      <c r="FM377" s="740"/>
      <c r="FN377" s="740"/>
      <c r="FO377" s="740"/>
      <c r="FP377" s="740"/>
      <c r="FQ377" s="740"/>
      <c r="FR377" s="740"/>
      <c r="FS377" s="740"/>
      <c r="FT377" s="740"/>
      <c r="FU377" s="740"/>
      <c r="FV377" s="740"/>
      <c r="FW377" s="740"/>
      <c r="FX377" s="740"/>
      <c r="FY377" s="740"/>
      <c r="FZ377" s="740"/>
      <c r="GA377" s="740"/>
      <c r="GB377" s="740"/>
      <c r="GC377" s="740"/>
      <c r="GD377" s="740"/>
      <c r="GE377" s="740"/>
      <c r="GF377" s="740"/>
      <c r="GG377" s="740"/>
      <c r="GH377" s="740"/>
      <c r="GI377" s="740"/>
      <c r="GJ377" s="740"/>
      <c r="GK377" s="740"/>
      <c r="GL377" s="740"/>
      <c r="GM377" s="740"/>
      <c r="GN377" s="740"/>
      <c r="GO377" s="740"/>
      <c r="GP377" s="740"/>
      <c r="GQ377" s="740"/>
      <c r="GR377" s="740"/>
      <c r="GS377" s="740"/>
      <c r="GT377" s="740"/>
      <c r="GU377" s="740"/>
      <c r="GV377" s="740"/>
      <c r="GW377" s="740"/>
    </row>
    <row r="378" spans="18:205" ht="24" customHeight="1" x14ac:dyDescent="0.2">
      <c r="R378" s="740"/>
      <c r="S378" s="740"/>
      <c r="T378" s="740"/>
      <c r="U378" s="740"/>
      <c r="V378" s="740"/>
      <c r="W378" s="740"/>
      <c r="X378" s="740"/>
      <c r="Y378" s="740"/>
      <c r="Z378" s="740"/>
      <c r="AA378" s="740"/>
      <c r="AB378" s="740"/>
      <c r="AC378" s="740"/>
      <c r="AD378" s="740"/>
      <c r="AE378" s="740"/>
      <c r="AF378" s="740"/>
      <c r="AG378" s="740"/>
      <c r="AH378" s="740"/>
      <c r="AI378" s="740"/>
      <c r="AJ378" s="740"/>
      <c r="AK378" s="740"/>
      <c r="AL378" s="740"/>
      <c r="AM378" s="740"/>
      <c r="AN378" s="740"/>
      <c r="AO378" s="740"/>
      <c r="AP378" s="740"/>
      <c r="AQ378" s="740"/>
      <c r="AR378" s="740"/>
      <c r="AS378" s="740"/>
      <c r="AT378" s="740"/>
      <c r="AU378" s="740"/>
      <c r="AV378" s="740"/>
      <c r="AW378" s="740"/>
      <c r="AX378" s="740"/>
      <c r="AY378" s="740"/>
      <c r="AZ378" s="740"/>
      <c r="BA378" s="740"/>
      <c r="BB378" s="740"/>
      <c r="BC378" s="740"/>
      <c r="BD378" s="740"/>
      <c r="BE378" s="740"/>
      <c r="BF378" s="740"/>
      <c r="BG378" s="740"/>
      <c r="BH378" s="740"/>
      <c r="BI378" s="740"/>
      <c r="BJ378" s="740"/>
      <c r="BK378" s="740"/>
      <c r="BL378" s="740"/>
      <c r="BM378" s="740"/>
      <c r="BN378" s="740"/>
      <c r="BO378" s="740"/>
      <c r="BP378" s="740"/>
      <c r="BQ378" s="740"/>
      <c r="BR378" s="740"/>
      <c r="BS378" s="740"/>
      <c r="BT378" s="740"/>
      <c r="BU378" s="740"/>
      <c r="BV378" s="740"/>
      <c r="BW378" s="740"/>
      <c r="BX378" s="740"/>
      <c r="BY378" s="740"/>
      <c r="BZ378" s="740"/>
      <c r="CA378" s="740"/>
      <c r="CB378" s="740"/>
      <c r="CC378" s="740"/>
      <c r="CD378" s="740"/>
      <c r="CE378" s="740"/>
      <c r="CF378" s="740"/>
      <c r="CG378" s="740"/>
      <c r="CH378" s="740"/>
      <c r="CI378" s="740"/>
      <c r="CJ378" s="740"/>
      <c r="CK378" s="740"/>
      <c r="CL378" s="740"/>
      <c r="CM378" s="740"/>
      <c r="CN378" s="740"/>
      <c r="CO378" s="740"/>
      <c r="CP378" s="740"/>
      <c r="CQ378" s="740"/>
      <c r="CR378" s="740"/>
      <c r="CS378" s="740"/>
      <c r="CT378" s="740"/>
      <c r="CU378" s="740"/>
      <c r="CV378" s="740"/>
      <c r="CW378" s="740"/>
      <c r="CX378" s="740"/>
      <c r="CY378" s="740"/>
      <c r="CZ378" s="740"/>
      <c r="DA378" s="740"/>
      <c r="DB378" s="740"/>
      <c r="DC378" s="740"/>
      <c r="DD378" s="740"/>
      <c r="DE378" s="740"/>
      <c r="DF378" s="740"/>
      <c r="DG378" s="740"/>
      <c r="DH378" s="740"/>
      <c r="DI378" s="740"/>
      <c r="DJ378" s="740"/>
      <c r="DK378" s="740"/>
      <c r="DL378" s="740"/>
      <c r="DM378" s="740"/>
      <c r="DN378" s="740"/>
      <c r="DO378" s="740"/>
      <c r="DP378" s="740"/>
      <c r="DQ378" s="740"/>
      <c r="DR378" s="740"/>
      <c r="DS378" s="740"/>
      <c r="DT378" s="740"/>
      <c r="DU378" s="740"/>
      <c r="DV378" s="740"/>
      <c r="DW378" s="740"/>
      <c r="DX378" s="740"/>
      <c r="DY378" s="740"/>
      <c r="DZ378" s="740"/>
      <c r="EA378" s="740"/>
      <c r="EB378" s="740"/>
      <c r="EC378" s="740"/>
      <c r="ED378" s="740"/>
      <c r="EE378" s="740"/>
      <c r="EF378" s="740"/>
      <c r="EG378" s="740"/>
      <c r="EH378" s="740"/>
      <c r="EI378" s="740"/>
      <c r="EJ378" s="740"/>
      <c r="EK378" s="740"/>
      <c r="EL378" s="740"/>
      <c r="EM378" s="740"/>
      <c r="EN378" s="740"/>
      <c r="EO378" s="740"/>
      <c r="EP378" s="740"/>
      <c r="EQ378" s="740"/>
      <c r="ER378" s="740"/>
      <c r="ES378" s="740"/>
      <c r="ET378" s="740"/>
      <c r="EU378" s="740"/>
      <c r="EV378" s="740"/>
      <c r="EW378" s="740"/>
      <c r="EX378" s="740"/>
      <c r="EY378" s="740"/>
      <c r="EZ378" s="740"/>
      <c r="FA378" s="740"/>
      <c r="FB378" s="740"/>
      <c r="FC378" s="740"/>
      <c r="FD378" s="740"/>
      <c r="FE378" s="740"/>
      <c r="FF378" s="740"/>
      <c r="FG378" s="740"/>
      <c r="FH378" s="740"/>
      <c r="FI378" s="740"/>
      <c r="FJ378" s="740"/>
      <c r="FK378" s="740"/>
      <c r="FL378" s="740"/>
      <c r="FM378" s="740"/>
      <c r="FN378" s="740"/>
      <c r="FO378" s="740"/>
      <c r="FP378" s="740"/>
      <c r="FQ378" s="740"/>
      <c r="FR378" s="740"/>
      <c r="FS378" s="740"/>
      <c r="FT378" s="740"/>
      <c r="FU378" s="740"/>
      <c r="FV378" s="740"/>
      <c r="FW378" s="740"/>
      <c r="FX378" s="740"/>
      <c r="FY378" s="740"/>
      <c r="FZ378" s="740"/>
      <c r="GA378" s="740"/>
      <c r="GB378" s="740"/>
      <c r="GC378" s="740"/>
      <c r="GD378" s="740"/>
      <c r="GE378" s="740"/>
      <c r="GF378" s="740"/>
      <c r="GG378" s="740"/>
      <c r="GH378" s="740"/>
      <c r="GI378" s="740"/>
      <c r="GJ378" s="740"/>
      <c r="GK378" s="740"/>
      <c r="GL378" s="740"/>
      <c r="GM378" s="740"/>
      <c r="GN378" s="740"/>
      <c r="GO378" s="740"/>
      <c r="GP378" s="740"/>
      <c r="GQ378" s="740"/>
      <c r="GR378" s="740"/>
      <c r="GS378" s="740"/>
      <c r="GT378" s="740"/>
      <c r="GU378" s="740"/>
      <c r="GV378" s="740"/>
      <c r="GW378" s="740"/>
    </row>
    <row r="379" spans="18:205" ht="24" customHeight="1" x14ac:dyDescent="0.2">
      <c r="R379" s="740"/>
      <c r="S379" s="740"/>
      <c r="T379" s="740"/>
      <c r="U379" s="740"/>
      <c r="V379" s="740"/>
      <c r="W379" s="740"/>
      <c r="X379" s="740"/>
      <c r="Y379" s="740"/>
      <c r="Z379" s="740"/>
      <c r="AA379" s="740"/>
      <c r="AB379" s="740"/>
      <c r="AC379" s="740"/>
      <c r="AD379" s="740"/>
      <c r="AE379" s="740"/>
      <c r="AF379" s="740"/>
      <c r="AG379" s="740"/>
      <c r="AH379" s="740"/>
      <c r="AI379" s="740"/>
      <c r="AJ379" s="740"/>
      <c r="AK379" s="740"/>
      <c r="AL379" s="740"/>
      <c r="AM379" s="740"/>
      <c r="AN379" s="740"/>
      <c r="AO379" s="740"/>
      <c r="AP379" s="740"/>
      <c r="AQ379" s="740"/>
      <c r="AR379" s="740"/>
      <c r="AS379" s="740"/>
      <c r="AT379" s="740"/>
      <c r="AU379" s="740"/>
      <c r="AV379" s="740"/>
      <c r="AW379" s="740"/>
      <c r="AX379" s="740"/>
      <c r="AY379" s="740"/>
      <c r="AZ379" s="740"/>
      <c r="BA379" s="740"/>
      <c r="BB379" s="740"/>
      <c r="BC379" s="740"/>
      <c r="BD379" s="740"/>
      <c r="BE379" s="740"/>
      <c r="BF379" s="740"/>
      <c r="BG379" s="740"/>
      <c r="BH379" s="740"/>
      <c r="BI379" s="740"/>
      <c r="BJ379" s="740"/>
      <c r="BK379" s="740"/>
      <c r="BL379" s="740"/>
      <c r="BM379" s="740"/>
      <c r="BN379" s="740"/>
      <c r="BO379" s="740"/>
      <c r="BP379" s="740"/>
      <c r="BQ379" s="740"/>
      <c r="BR379" s="740"/>
      <c r="BS379" s="740"/>
      <c r="BT379" s="740"/>
      <c r="BU379" s="740"/>
      <c r="BV379" s="740"/>
      <c r="BW379" s="740"/>
      <c r="BX379" s="740"/>
      <c r="BY379" s="740"/>
      <c r="BZ379" s="740"/>
      <c r="CA379" s="740"/>
      <c r="CB379" s="740"/>
      <c r="CC379" s="740"/>
      <c r="CD379" s="740"/>
      <c r="CE379" s="740"/>
      <c r="CF379" s="740"/>
      <c r="CG379" s="740"/>
      <c r="CH379" s="740"/>
      <c r="CI379" s="740"/>
      <c r="CJ379" s="740"/>
      <c r="CK379" s="740"/>
      <c r="CL379" s="740"/>
      <c r="CM379" s="740"/>
      <c r="CN379" s="740"/>
      <c r="CO379" s="740"/>
      <c r="CP379" s="740"/>
      <c r="CQ379" s="740"/>
      <c r="CR379" s="740"/>
      <c r="CS379" s="740"/>
      <c r="CT379" s="740"/>
      <c r="CU379" s="740"/>
      <c r="CV379" s="740"/>
      <c r="CW379" s="740"/>
      <c r="CX379" s="740"/>
      <c r="CY379" s="740"/>
      <c r="CZ379" s="740"/>
      <c r="DA379" s="740"/>
      <c r="DB379" s="740"/>
      <c r="DC379" s="740"/>
      <c r="DD379" s="740"/>
      <c r="DE379" s="740"/>
      <c r="DF379" s="740"/>
      <c r="DG379" s="740"/>
      <c r="DH379" s="740"/>
      <c r="DI379" s="740"/>
      <c r="DJ379" s="740"/>
      <c r="DK379" s="740"/>
      <c r="DL379" s="740"/>
      <c r="DM379" s="740"/>
      <c r="DN379" s="740"/>
      <c r="DO379" s="740"/>
      <c r="DP379" s="740"/>
      <c r="DQ379" s="740"/>
      <c r="DR379" s="740"/>
      <c r="DS379" s="740"/>
      <c r="DT379" s="740"/>
      <c r="DU379" s="740"/>
      <c r="DV379" s="740"/>
      <c r="DW379" s="740"/>
      <c r="DX379" s="740"/>
      <c r="DY379" s="740"/>
      <c r="DZ379" s="740"/>
      <c r="EA379" s="740"/>
      <c r="EB379" s="740"/>
      <c r="EC379" s="740"/>
      <c r="ED379" s="740"/>
      <c r="EE379" s="740"/>
      <c r="EF379" s="740"/>
      <c r="EG379" s="740"/>
      <c r="EH379" s="740"/>
      <c r="EI379" s="740"/>
      <c r="EJ379" s="740"/>
      <c r="EK379" s="740"/>
      <c r="EL379" s="740"/>
      <c r="EM379" s="740"/>
      <c r="EN379" s="740"/>
      <c r="EO379" s="740"/>
      <c r="EP379" s="740"/>
      <c r="EQ379" s="740"/>
      <c r="ER379" s="740"/>
      <c r="ES379" s="740"/>
      <c r="ET379" s="740"/>
      <c r="EU379" s="740"/>
      <c r="EV379" s="740"/>
      <c r="EW379" s="740"/>
      <c r="EX379" s="740"/>
      <c r="EY379" s="740"/>
      <c r="EZ379" s="740"/>
      <c r="FA379" s="740"/>
      <c r="FB379" s="740"/>
      <c r="FC379" s="740"/>
      <c r="FD379" s="740"/>
      <c r="FE379" s="740"/>
      <c r="FF379" s="740"/>
      <c r="FG379" s="740"/>
      <c r="FH379" s="740"/>
      <c r="FI379" s="740"/>
      <c r="FJ379" s="740"/>
      <c r="FK379" s="740"/>
      <c r="FL379" s="740"/>
      <c r="FM379" s="740"/>
      <c r="FN379" s="740"/>
      <c r="FO379" s="740"/>
      <c r="FP379" s="740"/>
      <c r="FQ379" s="740"/>
      <c r="FR379" s="740"/>
      <c r="FS379" s="740"/>
      <c r="FT379" s="740"/>
      <c r="FU379" s="740"/>
      <c r="FV379" s="740"/>
      <c r="FW379" s="740"/>
      <c r="FX379" s="740"/>
      <c r="FY379" s="740"/>
      <c r="FZ379" s="740"/>
      <c r="GA379" s="740"/>
      <c r="GB379" s="740"/>
      <c r="GC379" s="740"/>
      <c r="GD379" s="740"/>
      <c r="GE379" s="740"/>
      <c r="GF379" s="740"/>
      <c r="GG379" s="740"/>
      <c r="GH379" s="740"/>
      <c r="GI379" s="740"/>
      <c r="GJ379" s="740"/>
      <c r="GK379" s="740"/>
      <c r="GL379" s="740"/>
      <c r="GM379" s="740"/>
      <c r="GN379" s="740"/>
      <c r="GO379" s="740"/>
      <c r="GP379" s="740"/>
      <c r="GQ379" s="740"/>
      <c r="GR379" s="740"/>
      <c r="GS379" s="740"/>
      <c r="GT379" s="740"/>
      <c r="GU379" s="740"/>
      <c r="GV379" s="740"/>
      <c r="GW379" s="740"/>
    </row>
    <row r="380" spans="18:205" ht="24" customHeight="1" x14ac:dyDescent="0.2">
      <c r="R380" s="740"/>
      <c r="S380" s="740"/>
      <c r="T380" s="740"/>
      <c r="U380" s="740"/>
      <c r="V380" s="740"/>
      <c r="W380" s="740"/>
      <c r="X380" s="740"/>
      <c r="Y380" s="740"/>
      <c r="Z380" s="740"/>
      <c r="AA380" s="740"/>
      <c r="AB380" s="740"/>
      <c r="AC380" s="740"/>
      <c r="AD380" s="740"/>
      <c r="AE380" s="740"/>
      <c r="AF380" s="740"/>
      <c r="AG380" s="740"/>
      <c r="AH380" s="740"/>
      <c r="AI380" s="740"/>
      <c r="AJ380" s="740"/>
      <c r="AK380" s="740"/>
      <c r="AL380" s="740"/>
      <c r="AM380" s="740"/>
      <c r="AN380" s="740"/>
      <c r="AO380" s="740"/>
      <c r="AP380" s="740"/>
      <c r="AQ380" s="740"/>
      <c r="AR380" s="740"/>
      <c r="AS380" s="740"/>
      <c r="AT380" s="740"/>
      <c r="AU380" s="740"/>
      <c r="AV380" s="740"/>
      <c r="AW380" s="740"/>
      <c r="AX380" s="740"/>
      <c r="AY380" s="740"/>
      <c r="AZ380" s="740"/>
      <c r="BA380" s="740"/>
      <c r="BB380" s="740"/>
      <c r="BC380" s="740"/>
      <c r="BD380" s="740"/>
      <c r="BE380" s="740"/>
      <c r="BF380" s="740"/>
      <c r="BG380" s="740"/>
      <c r="BH380" s="740"/>
      <c r="BI380" s="740"/>
      <c r="BJ380" s="740"/>
      <c r="BK380" s="740"/>
      <c r="BL380" s="740"/>
      <c r="BM380" s="740"/>
      <c r="BN380" s="740"/>
      <c r="BO380" s="740"/>
      <c r="BP380" s="740"/>
      <c r="BQ380" s="740"/>
      <c r="BR380" s="740"/>
      <c r="BS380" s="740"/>
      <c r="BT380" s="740"/>
      <c r="BU380" s="740"/>
      <c r="BV380" s="740"/>
      <c r="BW380" s="740"/>
      <c r="BX380" s="740"/>
      <c r="BY380" s="740"/>
      <c r="BZ380" s="740"/>
      <c r="CA380" s="740"/>
      <c r="CB380" s="740"/>
      <c r="CC380" s="740"/>
      <c r="CD380" s="740"/>
      <c r="CE380" s="740"/>
      <c r="CF380" s="740"/>
      <c r="CG380" s="740"/>
      <c r="CH380" s="740"/>
      <c r="CI380" s="740"/>
      <c r="CJ380" s="740"/>
      <c r="CK380" s="740"/>
      <c r="CL380" s="740"/>
      <c r="CM380" s="740"/>
      <c r="CN380" s="740"/>
      <c r="CO380" s="740"/>
      <c r="CP380" s="740"/>
      <c r="CQ380" s="740"/>
      <c r="CR380" s="740"/>
      <c r="CS380" s="740"/>
      <c r="CT380" s="740"/>
      <c r="CU380" s="740"/>
      <c r="CV380" s="740"/>
      <c r="CW380" s="740"/>
      <c r="CX380" s="740"/>
      <c r="CY380" s="740"/>
      <c r="CZ380" s="740"/>
      <c r="DA380" s="740"/>
      <c r="DB380" s="740"/>
      <c r="DC380" s="740"/>
      <c r="DD380" s="740"/>
      <c r="DE380" s="740"/>
      <c r="DF380" s="740"/>
      <c r="DG380" s="740"/>
      <c r="DH380" s="740"/>
      <c r="DI380" s="740"/>
      <c r="DJ380" s="740"/>
      <c r="DK380" s="740"/>
      <c r="DL380" s="740"/>
      <c r="DM380" s="740"/>
      <c r="DN380" s="740"/>
      <c r="DO380" s="740"/>
      <c r="DP380" s="740"/>
      <c r="DQ380" s="740"/>
      <c r="DR380" s="740"/>
      <c r="DS380" s="740"/>
      <c r="DT380" s="740"/>
      <c r="DU380" s="740"/>
      <c r="DV380" s="740"/>
      <c r="DW380" s="740"/>
      <c r="DX380" s="740"/>
      <c r="DY380" s="740"/>
      <c r="DZ380" s="740"/>
      <c r="EA380" s="740"/>
      <c r="EB380" s="740"/>
      <c r="EC380" s="740"/>
      <c r="ED380" s="740"/>
      <c r="EE380" s="740"/>
      <c r="EF380" s="740"/>
      <c r="EG380" s="740"/>
      <c r="EH380" s="740"/>
      <c r="EI380" s="740"/>
      <c r="EJ380" s="740"/>
      <c r="EK380" s="740"/>
      <c r="EL380" s="740"/>
      <c r="EM380" s="740"/>
      <c r="EN380" s="740"/>
      <c r="EO380" s="740"/>
      <c r="EP380" s="740"/>
      <c r="EQ380" s="740"/>
      <c r="ER380" s="740"/>
      <c r="ES380" s="740"/>
      <c r="ET380" s="740"/>
      <c r="EU380" s="740"/>
      <c r="EV380" s="740"/>
      <c r="EW380" s="740"/>
      <c r="EX380" s="740"/>
      <c r="EY380" s="740"/>
      <c r="EZ380" s="740"/>
      <c r="FA380" s="740"/>
      <c r="FB380" s="740"/>
      <c r="FC380" s="740"/>
      <c r="FD380" s="740"/>
      <c r="FE380" s="740"/>
      <c r="FF380" s="740"/>
      <c r="FG380" s="740"/>
      <c r="FH380" s="740"/>
      <c r="FI380" s="740"/>
      <c r="FJ380" s="740"/>
      <c r="FK380" s="740"/>
      <c r="FL380" s="740"/>
      <c r="FM380" s="740"/>
      <c r="FN380" s="740"/>
      <c r="FO380" s="740"/>
      <c r="FP380" s="740"/>
      <c r="FQ380" s="740"/>
      <c r="FR380" s="740"/>
      <c r="FS380" s="740"/>
      <c r="FT380" s="740"/>
      <c r="FU380" s="740"/>
      <c r="FV380" s="740"/>
      <c r="FW380" s="740"/>
      <c r="FX380" s="740"/>
      <c r="FY380" s="740"/>
      <c r="FZ380" s="740"/>
      <c r="GA380" s="740"/>
      <c r="GB380" s="740"/>
      <c r="GC380" s="740"/>
      <c r="GD380" s="740"/>
      <c r="GE380" s="740"/>
      <c r="GF380" s="740"/>
      <c r="GG380" s="740"/>
      <c r="GH380" s="740"/>
      <c r="GI380" s="740"/>
      <c r="GJ380" s="740"/>
      <c r="GK380" s="740"/>
      <c r="GL380" s="740"/>
      <c r="GM380" s="740"/>
      <c r="GN380" s="740"/>
      <c r="GO380" s="740"/>
      <c r="GP380" s="740"/>
      <c r="GQ380" s="740"/>
      <c r="GR380" s="740"/>
      <c r="GS380" s="740"/>
      <c r="GT380" s="740"/>
      <c r="GU380" s="740"/>
      <c r="GV380" s="740"/>
      <c r="GW380" s="740"/>
    </row>
    <row r="381" spans="18:205" ht="24" customHeight="1" x14ac:dyDescent="0.2">
      <c r="R381" s="740"/>
      <c r="S381" s="740"/>
      <c r="T381" s="740"/>
      <c r="U381" s="740"/>
      <c r="V381" s="740"/>
      <c r="W381" s="740"/>
      <c r="X381" s="740"/>
      <c r="Y381" s="740"/>
      <c r="Z381" s="740"/>
      <c r="AA381" s="740"/>
      <c r="AB381" s="740"/>
      <c r="AC381" s="740"/>
      <c r="AD381" s="740"/>
      <c r="AE381" s="740"/>
      <c r="AF381" s="740"/>
      <c r="AG381" s="740"/>
      <c r="AH381" s="740"/>
      <c r="AI381" s="740"/>
      <c r="AJ381" s="740"/>
      <c r="AK381" s="740"/>
      <c r="AL381" s="740"/>
      <c r="AM381" s="740"/>
      <c r="AN381" s="740"/>
      <c r="AO381" s="740"/>
      <c r="AP381" s="740"/>
      <c r="AQ381" s="740"/>
      <c r="AR381" s="740"/>
      <c r="AS381" s="740"/>
      <c r="AT381" s="740"/>
      <c r="AU381" s="740"/>
      <c r="AV381" s="740"/>
      <c r="AW381" s="740"/>
      <c r="AX381" s="740"/>
      <c r="AY381" s="740"/>
      <c r="AZ381" s="740"/>
      <c r="BA381" s="740"/>
      <c r="BB381" s="740"/>
      <c r="BC381" s="740"/>
      <c r="BD381" s="740"/>
      <c r="BE381" s="740"/>
      <c r="BF381" s="740"/>
      <c r="BG381" s="740"/>
      <c r="BH381" s="740"/>
      <c r="BI381" s="740"/>
      <c r="BJ381" s="740"/>
      <c r="BK381" s="740"/>
      <c r="BL381" s="740"/>
      <c r="BM381" s="740"/>
      <c r="BN381" s="740"/>
      <c r="BO381" s="740"/>
      <c r="BP381" s="740"/>
      <c r="BQ381" s="740"/>
      <c r="BR381" s="740"/>
      <c r="BS381" s="740"/>
      <c r="BT381" s="740"/>
      <c r="BU381" s="740"/>
      <c r="BV381" s="740"/>
      <c r="BW381" s="740"/>
      <c r="BX381" s="740"/>
      <c r="BY381" s="740"/>
      <c r="BZ381" s="740"/>
      <c r="CA381" s="740"/>
      <c r="CB381" s="740"/>
      <c r="CC381" s="740"/>
      <c r="CD381" s="740"/>
      <c r="CE381" s="740"/>
      <c r="CF381" s="740"/>
      <c r="CG381" s="740"/>
      <c r="CH381" s="740"/>
      <c r="CI381" s="740"/>
      <c r="CJ381" s="740"/>
      <c r="CK381" s="740"/>
      <c r="CL381" s="740"/>
      <c r="CM381" s="740"/>
      <c r="CN381" s="740"/>
      <c r="CO381" s="740"/>
      <c r="CP381" s="740"/>
      <c r="CQ381" s="740"/>
      <c r="CR381" s="740"/>
      <c r="CS381" s="740"/>
      <c r="CT381" s="740"/>
      <c r="CU381" s="740"/>
      <c r="CV381" s="740"/>
      <c r="CW381" s="740"/>
      <c r="CX381" s="740"/>
      <c r="CY381" s="740"/>
      <c r="CZ381" s="740"/>
      <c r="DA381" s="740"/>
      <c r="DB381" s="740"/>
      <c r="DC381" s="740"/>
      <c r="DD381" s="740"/>
      <c r="DE381" s="740"/>
      <c r="DF381" s="740"/>
      <c r="DG381" s="740"/>
      <c r="DH381" s="740"/>
      <c r="DI381" s="740"/>
      <c r="DJ381" s="740"/>
      <c r="DK381" s="740"/>
      <c r="DL381" s="740"/>
      <c r="DM381" s="740"/>
      <c r="DN381" s="740"/>
      <c r="DO381" s="740"/>
      <c r="DP381" s="740"/>
      <c r="DQ381" s="740"/>
      <c r="DR381" s="740"/>
      <c r="DS381" s="740"/>
      <c r="DT381" s="740"/>
      <c r="DU381" s="740"/>
      <c r="DV381" s="740"/>
      <c r="DW381" s="740"/>
      <c r="DX381" s="740"/>
      <c r="DY381" s="740"/>
      <c r="DZ381" s="740"/>
      <c r="EA381" s="740"/>
      <c r="EB381" s="740"/>
      <c r="EC381" s="740"/>
      <c r="ED381" s="740"/>
      <c r="EE381" s="740"/>
      <c r="EF381" s="740"/>
      <c r="EG381" s="740"/>
      <c r="EH381" s="740"/>
      <c r="EI381" s="740"/>
      <c r="EJ381" s="740"/>
      <c r="EK381" s="740"/>
      <c r="EL381" s="740"/>
      <c r="EM381" s="740"/>
      <c r="EN381" s="740"/>
      <c r="EO381" s="740"/>
      <c r="EP381" s="740"/>
      <c r="EQ381" s="740"/>
      <c r="ER381" s="740"/>
      <c r="ES381" s="740"/>
      <c r="ET381" s="740"/>
      <c r="EU381" s="740"/>
      <c r="EV381" s="740"/>
      <c r="EW381" s="740"/>
      <c r="EX381" s="740"/>
      <c r="EY381" s="740"/>
      <c r="EZ381" s="740"/>
      <c r="FA381" s="740"/>
      <c r="FB381" s="740"/>
      <c r="FC381" s="740"/>
      <c r="FD381" s="740"/>
      <c r="FE381" s="740"/>
      <c r="FF381" s="740"/>
      <c r="FG381" s="740"/>
      <c r="FH381" s="740"/>
      <c r="FI381" s="740"/>
      <c r="FJ381" s="740"/>
      <c r="FK381" s="740"/>
      <c r="FL381" s="740"/>
      <c r="FM381" s="740"/>
      <c r="FN381" s="740"/>
      <c r="FO381" s="740"/>
      <c r="FP381" s="740"/>
      <c r="FQ381" s="740"/>
      <c r="FR381" s="740"/>
      <c r="FS381" s="740"/>
      <c r="FT381" s="740"/>
      <c r="FU381" s="740"/>
      <c r="FV381" s="740"/>
      <c r="FW381" s="740"/>
      <c r="FX381" s="740"/>
      <c r="FY381" s="740"/>
      <c r="FZ381" s="740"/>
      <c r="GA381" s="740"/>
      <c r="GB381" s="740"/>
      <c r="GC381" s="740"/>
      <c r="GD381" s="740"/>
      <c r="GE381" s="740"/>
      <c r="GF381" s="740"/>
      <c r="GG381" s="740"/>
      <c r="GH381" s="740"/>
      <c r="GI381" s="740"/>
      <c r="GJ381" s="740"/>
      <c r="GK381" s="740"/>
      <c r="GL381" s="740"/>
      <c r="GM381" s="740"/>
      <c r="GN381" s="740"/>
      <c r="GO381" s="740"/>
      <c r="GP381" s="740"/>
      <c r="GQ381" s="740"/>
      <c r="GR381" s="740"/>
      <c r="GS381" s="740"/>
      <c r="GT381" s="740"/>
      <c r="GU381" s="740"/>
      <c r="GV381" s="740"/>
      <c r="GW381" s="740"/>
    </row>
    <row r="382" spans="18:205" ht="24" customHeight="1" x14ac:dyDescent="0.2">
      <c r="R382" s="740"/>
      <c r="S382" s="740"/>
      <c r="T382" s="740"/>
      <c r="U382" s="740"/>
      <c r="V382" s="740"/>
      <c r="W382" s="740"/>
      <c r="X382" s="740"/>
      <c r="Y382" s="740"/>
      <c r="Z382" s="740"/>
      <c r="AA382" s="740"/>
      <c r="AB382" s="740"/>
      <c r="AC382" s="740"/>
      <c r="AD382" s="740"/>
      <c r="AE382" s="740"/>
      <c r="AF382" s="740"/>
      <c r="AG382" s="740"/>
      <c r="AH382" s="740"/>
      <c r="AI382" s="740"/>
      <c r="AJ382" s="740"/>
      <c r="AK382" s="740"/>
      <c r="AL382" s="740"/>
      <c r="AM382" s="740"/>
      <c r="AN382" s="740"/>
      <c r="AO382" s="740"/>
      <c r="AP382" s="740"/>
      <c r="AQ382" s="740"/>
      <c r="AR382" s="740"/>
      <c r="AS382" s="740"/>
      <c r="AT382" s="740"/>
      <c r="AU382" s="740"/>
      <c r="AV382" s="740"/>
      <c r="AW382" s="740"/>
      <c r="AX382" s="740"/>
      <c r="AY382" s="740"/>
      <c r="AZ382" s="740"/>
      <c r="BA382" s="740"/>
      <c r="BB382" s="740"/>
      <c r="BC382" s="740"/>
      <c r="BD382" s="740"/>
      <c r="BE382" s="740"/>
      <c r="BF382" s="740"/>
      <c r="BG382" s="740"/>
      <c r="BH382" s="740"/>
      <c r="BI382" s="740"/>
      <c r="BJ382" s="740"/>
      <c r="BK382" s="740"/>
      <c r="BL382" s="740"/>
      <c r="BM382" s="740"/>
      <c r="BN382" s="740"/>
      <c r="BO382" s="740"/>
      <c r="BP382" s="740"/>
      <c r="BQ382" s="740"/>
      <c r="BR382" s="740"/>
      <c r="BS382" s="740"/>
      <c r="BT382" s="740"/>
      <c r="BU382" s="740"/>
      <c r="BV382" s="740"/>
      <c r="BW382" s="740"/>
      <c r="BX382" s="740"/>
      <c r="BY382" s="740"/>
      <c r="BZ382" s="740"/>
      <c r="CA382" s="740"/>
      <c r="CB382" s="740"/>
      <c r="CC382" s="740"/>
      <c r="CD382" s="740"/>
      <c r="CE382" s="740"/>
      <c r="CF382" s="740"/>
      <c r="CG382" s="740"/>
      <c r="CH382" s="740"/>
      <c r="CI382" s="740"/>
      <c r="CJ382" s="740"/>
      <c r="CK382" s="740"/>
      <c r="CL382" s="740"/>
      <c r="CM382" s="740"/>
      <c r="CN382" s="740"/>
      <c r="CO382" s="740"/>
      <c r="CP382" s="740"/>
      <c r="CQ382" s="740"/>
      <c r="CR382" s="740"/>
      <c r="CS382" s="740"/>
      <c r="CT382" s="740"/>
      <c r="CU382" s="740"/>
      <c r="CV382" s="740"/>
      <c r="CW382" s="740"/>
      <c r="CX382" s="740"/>
      <c r="CY382" s="740"/>
      <c r="CZ382" s="740"/>
      <c r="DA382" s="740"/>
      <c r="DB382" s="740"/>
      <c r="DC382" s="740"/>
      <c r="DD382" s="740"/>
      <c r="DE382" s="740"/>
      <c r="DF382" s="740"/>
      <c r="DG382" s="740"/>
      <c r="DH382" s="740"/>
      <c r="DI382" s="740"/>
      <c r="DJ382" s="740"/>
      <c r="DK382" s="740"/>
      <c r="DL382" s="740"/>
      <c r="DM382" s="740"/>
      <c r="DN382" s="740"/>
      <c r="DO382" s="740"/>
      <c r="DP382" s="740"/>
      <c r="DQ382" s="740"/>
      <c r="DR382" s="740"/>
      <c r="DS382" s="740"/>
      <c r="DT382" s="740"/>
      <c r="DU382" s="740"/>
      <c r="DV382" s="740"/>
      <c r="DW382" s="740"/>
      <c r="DX382" s="740"/>
      <c r="DY382" s="740"/>
      <c r="DZ382" s="740"/>
      <c r="EA382" s="740"/>
      <c r="EB382" s="740"/>
      <c r="EC382" s="740"/>
      <c r="ED382" s="740"/>
      <c r="EE382" s="740"/>
      <c r="EF382" s="740"/>
      <c r="EG382" s="740"/>
      <c r="EH382" s="740"/>
      <c r="EI382" s="740"/>
      <c r="EJ382" s="740"/>
      <c r="EK382" s="740"/>
      <c r="EL382" s="740"/>
      <c r="EM382" s="740"/>
      <c r="EN382" s="740"/>
      <c r="EO382" s="740"/>
      <c r="EP382" s="740"/>
      <c r="EQ382" s="740"/>
      <c r="ER382" s="740"/>
      <c r="ES382" s="740"/>
      <c r="ET382" s="740"/>
      <c r="EU382" s="740"/>
      <c r="EV382" s="740"/>
      <c r="EW382" s="740"/>
      <c r="EX382" s="740"/>
      <c r="EY382" s="740"/>
      <c r="EZ382" s="740"/>
      <c r="FA382" s="740"/>
      <c r="FB382" s="740"/>
      <c r="FC382" s="740"/>
      <c r="FD382" s="740"/>
      <c r="FE382" s="740"/>
      <c r="FF382" s="740"/>
      <c r="FG382" s="740"/>
      <c r="FH382" s="740"/>
      <c r="FI382" s="740"/>
      <c r="FJ382" s="740"/>
      <c r="FK382" s="740"/>
      <c r="FL382" s="740"/>
      <c r="FM382" s="740"/>
      <c r="FN382" s="740"/>
      <c r="FO382" s="740"/>
      <c r="FP382" s="740"/>
      <c r="FQ382" s="740"/>
      <c r="FR382" s="740"/>
      <c r="FS382" s="740"/>
      <c r="FT382" s="740"/>
      <c r="FU382" s="740"/>
      <c r="FV382" s="740"/>
      <c r="FW382" s="740"/>
      <c r="FX382" s="740"/>
      <c r="FY382" s="740"/>
      <c r="FZ382" s="740"/>
      <c r="GA382" s="740"/>
      <c r="GB382" s="740"/>
      <c r="GC382" s="740"/>
      <c r="GD382" s="740"/>
      <c r="GE382" s="740"/>
      <c r="GF382" s="740"/>
      <c r="GG382" s="740"/>
      <c r="GH382" s="740"/>
      <c r="GI382" s="740"/>
      <c r="GJ382" s="740"/>
      <c r="GK382" s="740"/>
      <c r="GL382" s="740"/>
      <c r="GM382" s="740"/>
      <c r="GN382" s="740"/>
      <c r="GO382" s="740"/>
      <c r="GP382" s="740"/>
      <c r="GQ382" s="740"/>
      <c r="GR382" s="740"/>
      <c r="GS382" s="740"/>
      <c r="GT382" s="740"/>
      <c r="GU382" s="740"/>
      <c r="GV382" s="740"/>
      <c r="GW382" s="740"/>
    </row>
    <row r="383" spans="18:205" ht="24" customHeight="1" x14ac:dyDescent="0.2">
      <c r="R383" s="740"/>
      <c r="S383" s="740"/>
      <c r="T383" s="740"/>
      <c r="U383" s="740"/>
      <c r="V383" s="740"/>
      <c r="W383" s="740"/>
      <c r="X383" s="740"/>
      <c r="Y383" s="740"/>
      <c r="Z383" s="740"/>
      <c r="AA383" s="740"/>
      <c r="AB383" s="740"/>
      <c r="AC383" s="740"/>
      <c r="AD383" s="740"/>
      <c r="AE383" s="740"/>
      <c r="AF383" s="740"/>
      <c r="AG383" s="740"/>
      <c r="AH383" s="740"/>
      <c r="AI383" s="740"/>
      <c r="AJ383" s="740"/>
      <c r="AK383" s="740"/>
      <c r="AL383" s="740"/>
      <c r="AM383" s="740"/>
      <c r="AN383" s="740"/>
      <c r="AO383" s="740"/>
      <c r="AP383" s="740"/>
      <c r="AQ383" s="740"/>
      <c r="AR383" s="740"/>
      <c r="AS383" s="740"/>
      <c r="AT383" s="740"/>
      <c r="AU383" s="740"/>
      <c r="AV383" s="740"/>
      <c r="AW383" s="740"/>
      <c r="AX383" s="740"/>
      <c r="AY383" s="740"/>
      <c r="AZ383" s="740"/>
      <c r="BA383" s="740"/>
      <c r="BB383" s="740"/>
      <c r="BC383" s="740"/>
      <c r="BD383" s="740"/>
      <c r="BE383" s="740"/>
      <c r="BF383" s="740"/>
      <c r="BG383" s="740"/>
      <c r="BH383" s="740"/>
      <c r="BI383" s="740"/>
      <c r="BJ383" s="740"/>
      <c r="BK383" s="740"/>
      <c r="BL383" s="740"/>
      <c r="BM383" s="740"/>
      <c r="BN383" s="740"/>
      <c r="BO383" s="740"/>
      <c r="BP383" s="740"/>
      <c r="BQ383" s="740"/>
      <c r="BR383" s="740"/>
      <c r="BS383" s="740"/>
      <c r="BT383" s="740"/>
      <c r="BU383" s="740"/>
      <c r="BV383" s="740"/>
      <c r="BW383" s="740"/>
      <c r="BX383" s="740"/>
      <c r="BY383" s="740"/>
      <c r="BZ383" s="740"/>
      <c r="CA383" s="740"/>
      <c r="CB383" s="740"/>
      <c r="CC383" s="740"/>
      <c r="CD383" s="740"/>
      <c r="CE383" s="740"/>
      <c r="CF383" s="740"/>
      <c r="CG383" s="740"/>
      <c r="CH383" s="740"/>
      <c r="CI383" s="740"/>
      <c r="CJ383" s="740"/>
      <c r="CK383" s="740"/>
      <c r="CL383" s="740"/>
      <c r="CM383" s="740"/>
      <c r="CN383" s="740"/>
      <c r="CO383" s="740"/>
      <c r="CP383" s="740"/>
      <c r="CQ383" s="740"/>
      <c r="CR383" s="740"/>
      <c r="CS383" s="740"/>
      <c r="CT383" s="740"/>
      <c r="CU383" s="740"/>
      <c r="CV383" s="740"/>
      <c r="CW383" s="740"/>
      <c r="CX383" s="740"/>
      <c r="CY383" s="740"/>
      <c r="CZ383" s="740"/>
      <c r="DA383" s="740"/>
      <c r="DB383" s="740"/>
      <c r="DC383" s="740"/>
      <c r="DD383" s="740"/>
      <c r="DE383" s="740"/>
      <c r="DF383" s="740"/>
      <c r="DG383" s="740"/>
      <c r="DH383" s="740"/>
      <c r="DI383" s="740"/>
      <c r="DJ383" s="740"/>
      <c r="DK383" s="740"/>
      <c r="DL383" s="740"/>
      <c r="DM383" s="740"/>
      <c r="DN383" s="740"/>
      <c r="DO383" s="740"/>
      <c r="DP383" s="740"/>
      <c r="DQ383" s="740"/>
      <c r="DR383" s="740"/>
      <c r="DS383" s="740"/>
      <c r="DT383" s="740"/>
      <c r="DU383" s="740"/>
      <c r="DV383" s="740"/>
      <c r="DW383" s="740"/>
      <c r="DX383" s="740"/>
      <c r="DY383" s="740"/>
      <c r="DZ383" s="740"/>
      <c r="EA383" s="740"/>
      <c r="EB383" s="740"/>
      <c r="EC383" s="740"/>
      <c r="ED383" s="740"/>
      <c r="EE383" s="740"/>
      <c r="EF383" s="740"/>
      <c r="EG383" s="740"/>
      <c r="EH383" s="740"/>
      <c r="EI383" s="740"/>
      <c r="EJ383" s="740"/>
      <c r="EK383" s="740"/>
      <c r="EL383" s="740"/>
      <c r="EM383" s="740"/>
      <c r="EN383" s="740"/>
      <c r="EO383" s="740"/>
      <c r="EP383" s="740"/>
      <c r="EQ383" s="740"/>
      <c r="ER383" s="740"/>
      <c r="ES383" s="740"/>
      <c r="ET383" s="740"/>
      <c r="EU383" s="740"/>
      <c r="EV383" s="740"/>
      <c r="EW383" s="740"/>
      <c r="EX383" s="740"/>
      <c r="EY383" s="740"/>
      <c r="EZ383" s="740"/>
      <c r="FA383" s="740"/>
      <c r="FB383" s="740"/>
      <c r="FC383" s="740"/>
      <c r="FD383" s="740"/>
      <c r="FE383" s="740"/>
      <c r="FF383" s="740"/>
      <c r="FG383" s="740"/>
      <c r="FH383" s="740"/>
      <c r="FI383" s="740"/>
      <c r="FJ383" s="740"/>
      <c r="FK383" s="740"/>
      <c r="FL383" s="740"/>
      <c r="FM383" s="740"/>
      <c r="FN383" s="740"/>
      <c r="FO383" s="740"/>
      <c r="FP383" s="740"/>
      <c r="FQ383" s="740"/>
      <c r="FR383" s="740"/>
      <c r="FS383" s="740"/>
      <c r="FT383" s="740"/>
      <c r="FU383" s="740"/>
      <c r="FV383" s="740"/>
      <c r="FW383" s="740"/>
      <c r="FX383" s="740"/>
      <c r="FY383" s="740"/>
      <c r="FZ383" s="740"/>
      <c r="GA383" s="740"/>
      <c r="GB383" s="740"/>
      <c r="GC383" s="740"/>
      <c r="GD383" s="740"/>
      <c r="GE383" s="740"/>
      <c r="GF383" s="740"/>
      <c r="GG383" s="740"/>
      <c r="GH383" s="740"/>
      <c r="GI383" s="740"/>
      <c r="GJ383" s="740"/>
      <c r="GK383" s="740"/>
      <c r="GL383" s="740"/>
      <c r="GM383" s="740"/>
      <c r="GN383" s="740"/>
      <c r="GO383" s="740"/>
      <c r="GP383" s="740"/>
      <c r="GQ383" s="740"/>
      <c r="GR383" s="740"/>
      <c r="GS383" s="740"/>
      <c r="GT383" s="740"/>
      <c r="GU383" s="740"/>
      <c r="GV383" s="740"/>
      <c r="GW383" s="740"/>
    </row>
    <row r="384" spans="18:205" ht="24" customHeight="1" x14ac:dyDescent="0.2">
      <c r="R384" s="740"/>
      <c r="S384" s="740"/>
      <c r="T384" s="740"/>
      <c r="U384" s="740"/>
      <c r="V384" s="740"/>
      <c r="W384" s="740"/>
      <c r="X384" s="740"/>
      <c r="Y384" s="740"/>
      <c r="Z384" s="740"/>
      <c r="AA384" s="740"/>
      <c r="AB384" s="740"/>
      <c r="AC384" s="740"/>
      <c r="AD384" s="740"/>
      <c r="AE384" s="740"/>
      <c r="AF384" s="740"/>
      <c r="AG384" s="740"/>
      <c r="AH384" s="740"/>
      <c r="AI384" s="740"/>
      <c r="AJ384" s="740"/>
      <c r="AK384" s="740"/>
      <c r="AL384" s="740"/>
      <c r="AM384" s="740"/>
      <c r="AN384" s="740"/>
      <c r="AO384" s="740"/>
      <c r="AP384" s="740"/>
      <c r="AQ384" s="740"/>
      <c r="AR384" s="740"/>
      <c r="AS384" s="740"/>
      <c r="AT384" s="740"/>
      <c r="AU384" s="740"/>
      <c r="AV384" s="740"/>
      <c r="AW384" s="740"/>
      <c r="AX384" s="740"/>
      <c r="AY384" s="740"/>
      <c r="AZ384" s="740"/>
      <c r="BA384" s="740"/>
      <c r="BB384" s="740"/>
      <c r="BC384" s="740"/>
      <c r="BD384" s="740"/>
      <c r="BE384" s="740"/>
      <c r="BF384" s="740"/>
      <c r="BG384" s="740"/>
      <c r="BH384" s="740"/>
      <c r="BI384" s="740"/>
      <c r="BJ384" s="740"/>
      <c r="BK384" s="740"/>
      <c r="BL384" s="740"/>
      <c r="BM384" s="740"/>
      <c r="BN384" s="740"/>
      <c r="BO384" s="740"/>
      <c r="BP384" s="740"/>
      <c r="BQ384" s="740"/>
      <c r="BR384" s="740"/>
      <c r="BS384" s="740"/>
      <c r="BT384" s="740"/>
      <c r="BU384" s="740"/>
      <c r="BV384" s="740"/>
      <c r="BW384" s="740"/>
      <c r="BX384" s="740"/>
      <c r="BY384" s="740"/>
      <c r="BZ384" s="740"/>
      <c r="CA384" s="740"/>
      <c r="CB384" s="740"/>
      <c r="CC384" s="740"/>
      <c r="CD384" s="740"/>
      <c r="CE384" s="740"/>
      <c r="CF384" s="740"/>
      <c r="CG384" s="740"/>
      <c r="CH384" s="740"/>
      <c r="CI384" s="740"/>
      <c r="CJ384" s="740"/>
      <c r="CK384" s="740"/>
      <c r="CL384" s="740"/>
      <c r="CM384" s="740"/>
      <c r="CN384" s="740"/>
      <c r="CO384" s="740"/>
      <c r="CP384" s="740"/>
      <c r="CQ384" s="740"/>
      <c r="CR384" s="740"/>
      <c r="CS384" s="740"/>
      <c r="CT384" s="740"/>
      <c r="CU384" s="740"/>
      <c r="CV384" s="740"/>
      <c r="CW384" s="740"/>
      <c r="CX384" s="740"/>
      <c r="CY384" s="740"/>
      <c r="CZ384" s="740"/>
      <c r="DA384" s="740"/>
      <c r="DB384" s="740"/>
      <c r="DC384" s="740"/>
      <c r="DD384" s="740"/>
      <c r="DE384" s="740"/>
      <c r="DF384" s="740"/>
      <c r="DG384" s="740"/>
      <c r="DH384" s="740"/>
      <c r="DI384" s="740"/>
      <c r="DJ384" s="740"/>
      <c r="DK384" s="740"/>
      <c r="DL384" s="740"/>
      <c r="DM384" s="740"/>
      <c r="DN384" s="740"/>
      <c r="DO384" s="740"/>
      <c r="DP384" s="740"/>
      <c r="DQ384" s="740"/>
      <c r="DR384" s="740"/>
      <c r="DS384" s="740"/>
      <c r="DT384" s="740"/>
      <c r="DU384" s="740"/>
      <c r="DV384" s="740"/>
      <c r="DW384" s="740"/>
      <c r="DX384" s="740"/>
      <c r="DY384" s="740"/>
      <c r="DZ384" s="740"/>
      <c r="EA384" s="740"/>
      <c r="EB384" s="740"/>
      <c r="EC384" s="740"/>
      <c r="ED384" s="740"/>
      <c r="EE384" s="740"/>
      <c r="EF384" s="740"/>
      <c r="EG384" s="740"/>
      <c r="EH384" s="740"/>
      <c r="EI384" s="740"/>
      <c r="EJ384" s="740"/>
      <c r="EK384" s="740"/>
      <c r="EL384" s="740"/>
      <c r="EM384" s="740"/>
      <c r="EN384" s="740"/>
      <c r="EO384" s="740"/>
      <c r="EP384" s="740"/>
      <c r="EQ384" s="740"/>
      <c r="ER384" s="740"/>
      <c r="ES384" s="740"/>
      <c r="ET384" s="740"/>
      <c r="EU384" s="740"/>
      <c r="EV384" s="740"/>
      <c r="EW384" s="740"/>
      <c r="EX384" s="740"/>
      <c r="EY384" s="740"/>
      <c r="EZ384" s="740"/>
      <c r="FA384" s="740"/>
      <c r="FB384" s="740"/>
      <c r="FC384" s="740"/>
      <c r="FD384" s="740"/>
      <c r="FE384" s="740"/>
      <c r="FF384" s="740"/>
      <c r="FG384" s="740"/>
      <c r="FH384" s="740"/>
      <c r="FI384" s="740"/>
      <c r="FJ384" s="740"/>
      <c r="FK384" s="740"/>
      <c r="FL384" s="740"/>
      <c r="FM384" s="740"/>
      <c r="FN384" s="740"/>
      <c r="FO384" s="740"/>
      <c r="FP384" s="740"/>
      <c r="FQ384" s="740"/>
      <c r="FR384" s="740"/>
      <c r="FS384" s="740"/>
      <c r="FT384" s="740"/>
      <c r="FU384" s="740"/>
      <c r="FV384" s="740"/>
      <c r="FW384" s="740"/>
      <c r="FX384" s="740"/>
      <c r="FY384" s="740"/>
      <c r="FZ384" s="740"/>
      <c r="GA384" s="740"/>
      <c r="GB384" s="740"/>
      <c r="GC384" s="740"/>
      <c r="GD384" s="740"/>
      <c r="GE384" s="740"/>
      <c r="GF384" s="740"/>
      <c r="GG384" s="740"/>
      <c r="GH384" s="740"/>
      <c r="GI384" s="740"/>
      <c r="GJ384" s="740"/>
      <c r="GK384" s="740"/>
      <c r="GL384" s="740"/>
      <c r="GM384" s="740"/>
      <c r="GN384" s="740"/>
      <c r="GO384" s="740"/>
      <c r="GP384" s="740"/>
      <c r="GQ384" s="740"/>
      <c r="GR384" s="740"/>
      <c r="GS384" s="740"/>
      <c r="GT384" s="740"/>
      <c r="GU384" s="740"/>
      <c r="GV384" s="740"/>
      <c r="GW384" s="740"/>
    </row>
    <row r="385" spans="18:205" ht="24" customHeight="1" x14ac:dyDescent="0.2">
      <c r="R385" s="740"/>
      <c r="S385" s="740"/>
      <c r="T385" s="740"/>
      <c r="U385" s="740"/>
      <c r="V385" s="740"/>
      <c r="W385" s="740"/>
      <c r="X385" s="740"/>
      <c r="Y385" s="740"/>
      <c r="Z385" s="740"/>
      <c r="AA385" s="740"/>
      <c r="AB385" s="740"/>
      <c r="AC385" s="740"/>
      <c r="AD385" s="740"/>
      <c r="AE385" s="740"/>
      <c r="AF385" s="740"/>
      <c r="AG385" s="740"/>
      <c r="AH385" s="740"/>
      <c r="AI385" s="740"/>
      <c r="AJ385" s="740"/>
      <c r="AK385" s="740"/>
      <c r="AL385" s="740"/>
      <c r="AM385" s="740"/>
      <c r="AN385" s="740"/>
      <c r="AO385" s="740"/>
      <c r="AP385" s="740"/>
      <c r="AQ385" s="740"/>
      <c r="AR385" s="740"/>
      <c r="AS385" s="740"/>
      <c r="AT385" s="740"/>
      <c r="AU385" s="740"/>
      <c r="AV385" s="740"/>
      <c r="AW385" s="740"/>
      <c r="AX385" s="740"/>
      <c r="AY385" s="740"/>
      <c r="AZ385" s="740"/>
      <c r="BA385" s="740"/>
      <c r="BB385" s="740"/>
      <c r="BC385" s="740"/>
      <c r="BD385" s="740"/>
      <c r="BE385" s="740"/>
      <c r="BF385" s="740"/>
      <c r="BG385" s="740"/>
      <c r="BH385" s="740"/>
      <c r="BI385" s="740"/>
      <c r="BJ385" s="740"/>
      <c r="BK385" s="740"/>
      <c r="BL385" s="740"/>
      <c r="BM385" s="740"/>
      <c r="BN385" s="740"/>
      <c r="BO385" s="740"/>
      <c r="BP385" s="740"/>
      <c r="BQ385" s="740"/>
      <c r="BR385" s="740"/>
      <c r="BS385" s="740"/>
      <c r="BT385" s="740"/>
      <c r="BU385" s="740"/>
      <c r="BV385" s="740"/>
      <c r="BW385" s="740"/>
      <c r="BX385" s="740"/>
      <c r="BY385" s="740"/>
      <c r="BZ385" s="740"/>
      <c r="CA385" s="740"/>
      <c r="CB385" s="740"/>
      <c r="CC385" s="740"/>
      <c r="CD385" s="740"/>
      <c r="CE385" s="740"/>
      <c r="CF385" s="740"/>
      <c r="CG385" s="740"/>
      <c r="CH385" s="740"/>
      <c r="CI385" s="740"/>
      <c r="CJ385" s="740"/>
      <c r="CK385" s="740"/>
      <c r="CL385" s="740"/>
      <c r="CM385" s="740"/>
      <c r="CN385" s="740"/>
      <c r="CO385" s="740"/>
      <c r="CP385" s="740"/>
      <c r="CQ385" s="740"/>
      <c r="CR385" s="740"/>
      <c r="CS385" s="740"/>
      <c r="CT385" s="740"/>
      <c r="CU385" s="740"/>
      <c r="CV385" s="740"/>
      <c r="CW385" s="740"/>
      <c r="CX385" s="740"/>
      <c r="CY385" s="740"/>
      <c r="CZ385" s="740"/>
      <c r="DA385" s="740"/>
      <c r="DB385" s="740"/>
      <c r="DC385" s="740"/>
      <c r="DD385" s="740"/>
      <c r="DE385" s="740"/>
      <c r="DF385" s="740"/>
      <c r="DG385" s="740"/>
      <c r="DH385" s="740"/>
      <c r="DI385" s="740"/>
      <c r="DJ385" s="740"/>
      <c r="DK385" s="740"/>
      <c r="DL385" s="740"/>
      <c r="DM385" s="740"/>
      <c r="DN385" s="740"/>
      <c r="DO385" s="740"/>
      <c r="DP385" s="740"/>
      <c r="DQ385" s="740"/>
      <c r="DR385" s="740"/>
      <c r="DS385" s="740"/>
      <c r="DT385" s="740"/>
      <c r="DU385" s="740"/>
      <c r="DV385" s="740"/>
      <c r="DW385" s="740"/>
      <c r="DX385" s="740"/>
      <c r="DY385" s="740"/>
      <c r="DZ385" s="740"/>
      <c r="EA385" s="740"/>
      <c r="EB385" s="740"/>
      <c r="EC385" s="740"/>
      <c r="ED385" s="740"/>
      <c r="EE385" s="740"/>
      <c r="EF385" s="740"/>
      <c r="EG385" s="740"/>
      <c r="EH385" s="740"/>
      <c r="EI385" s="740"/>
      <c r="EJ385" s="740"/>
      <c r="EK385" s="740"/>
      <c r="EL385" s="740"/>
      <c r="EM385" s="740"/>
      <c r="EN385" s="740"/>
      <c r="EO385" s="740"/>
      <c r="EP385" s="740"/>
      <c r="EQ385" s="740"/>
      <c r="ER385" s="740"/>
      <c r="ES385" s="740"/>
      <c r="ET385" s="740"/>
      <c r="EU385" s="740"/>
      <c r="EV385" s="740"/>
      <c r="EW385" s="740"/>
      <c r="EX385" s="740"/>
      <c r="EY385" s="740"/>
      <c r="EZ385" s="740"/>
      <c r="FA385" s="740"/>
      <c r="FB385" s="740"/>
      <c r="FC385" s="740"/>
      <c r="FD385" s="740"/>
      <c r="FE385" s="740"/>
      <c r="FF385" s="740"/>
      <c r="FG385" s="740"/>
      <c r="FH385" s="740"/>
      <c r="FI385" s="740"/>
      <c r="FJ385" s="740"/>
      <c r="FK385" s="740"/>
      <c r="FL385" s="740"/>
      <c r="FM385" s="740"/>
      <c r="FN385" s="740"/>
      <c r="FO385" s="740"/>
      <c r="FP385" s="740"/>
      <c r="FQ385" s="740"/>
      <c r="FR385" s="740"/>
      <c r="FS385" s="740"/>
      <c r="FT385" s="740"/>
      <c r="FU385" s="740"/>
      <c r="FV385" s="740"/>
      <c r="FW385" s="740"/>
      <c r="FX385" s="740"/>
      <c r="FY385" s="740"/>
      <c r="FZ385" s="740"/>
      <c r="GA385" s="740"/>
      <c r="GB385" s="740"/>
      <c r="GC385" s="740"/>
      <c r="GD385" s="740"/>
      <c r="GE385" s="740"/>
      <c r="GF385" s="740"/>
      <c r="GG385" s="740"/>
      <c r="GH385" s="740"/>
      <c r="GI385" s="740"/>
      <c r="GJ385" s="740"/>
      <c r="GK385" s="740"/>
      <c r="GL385" s="740"/>
      <c r="GM385" s="740"/>
      <c r="GN385" s="740"/>
      <c r="GO385" s="740"/>
      <c r="GP385" s="740"/>
      <c r="GQ385" s="740"/>
      <c r="GR385" s="740"/>
      <c r="GS385" s="740"/>
      <c r="GT385" s="740"/>
      <c r="GU385" s="740"/>
      <c r="GV385" s="740"/>
      <c r="GW385" s="740"/>
    </row>
    <row r="386" spans="18:205" ht="24" customHeight="1" x14ac:dyDescent="0.2">
      <c r="R386" s="740"/>
      <c r="S386" s="740"/>
      <c r="T386" s="740"/>
      <c r="U386" s="740"/>
      <c r="V386" s="740"/>
      <c r="W386" s="740"/>
      <c r="X386" s="740"/>
      <c r="Y386" s="740"/>
      <c r="Z386" s="740"/>
      <c r="AA386" s="740"/>
      <c r="AB386" s="740"/>
      <c r="AC386" s="740"/>
      <c r="AD386" s="740"/>
      <c r="AE386" s="740"/>
      <c r="AF386" s="740"/>
      <c r="AG386" s="740"/>
      <c r="AH386" s="740"/>
      <c r="AI386" s="740"/>
      <c r="AJ386" s="740"/>
      <c r="AK386" s="740"/>
      <c r="AL386" s="740"/>
      <c r="AM386" s="740"/>
      <c r="AN386" s="740"/>
      <c r="AO386" s="740"/>
      <c r="AP386" s="740"/>
      <c r="AQ386" s="740"/>
      <c r="AR386" s="740"/>
      <c r="AS386" s="740"/>
      <c r="AT386" s="740"/>
      <c r="AU386" s="740"/>
      <c r="AV386" s="740"/>
      <c r="AW386" s="740"/>
      <c r="AX386" s="740"/>
      <c r="AY386" s="740"/>
      <c r="AZ386" s="740"/>
      <c r="BA386" s="740"/>
      <c r="BB386" s="740"/>
      <c r="BC386" s="740"/>
      <c r="BD386" s="740"/>
      <c r="BE386" s="740"/>
      <c r="BF386" s="740"/>
      <c r="BG386" s="740"/>
      <c r="BH386" s="740"/>
      <c r="BI386" s="740"/>
      <c r="BJ386" s="740"/>
      <c r="BK386" s="740"/>
      <c r="BL386" s="740"/>
      <c r="BM386" s="740"/>
      <c r="BN386" s="740"/>
      <c r="BO386" s="740"/>
      <c r="BP386" s="740"/>
      <c r="BQ386" s="740"/>
      <c r="BR386" s="740"/>
      <c r="BS386" s="740"/>
      <c r="BT386" s="740"/>
      <c r="BU386" s="740"/>
      <c r="BV386" s="740"/>
      <c r="BW386" s="740"/>
      <c r="BX386" s="740"/>
      <c r="BY386" s="740"/>
      <c r="BZ386" s="740"/>
      <c r="CA386" s="740"/>
      <c r="CB386" s="740"/>
      <c r="CC386" s="740"/>
      <c r="CD386" s="740"/>
      <c r="CE386" s="740"/>
      <c r="CF386" s="740"/>
      <c r="CG386" s="740"/>
      <c r="CH386" s="740"/>
      <c r="CI386" s="740"/>
      <c r="CJ386" s="740"/>
      <c r="CK386" s="740"/>
      <c r="CL386" s="740"/>
      <c r="CM386" s="740"/>
      <c r="CN386" s="740"/>
      <c r="CO386" s="740"/>
      <c r="CP386" s="740"/>
      <c r="CQ386" s="740"/>
      <c r="CR386" s="740"/>
      <c r="CS386" s="740"/>
      <c r="CT386" s="740"/>
      <c r="CU386" s="740"/>
      <c r="CV386" s="740"/>
      <c r="CW386" s="740"/>
      <c r="CX386" s="740"/>
      <c r="CY386" s="740"/>
      <c r="CZ386" s="740"/>
      <c r="DA386" s="740"/>
      <c r="DB386" s="740"/>
      <c r="DC386" s="740"/>
      <c r="DD386" s="740"/>
      <c r="DE386" s="740"/>
      <c r="DF386" s="740"/>
      <c r="DG386" s="740"/>
      <c r="DH386" s="740"/>
      <c r="DI386" s="740"/>
      <c r="DJ386" s="740"/>
      <c r="DK386" s="740"/>
      <c r="DL386" s="740"/>
      <c r="DM386" s="740"/>
      <c r="DN386" s="740"/>
      <c r="DO386" s="740"/>
      <c r="DP386" s="740"/>
      <c r="DQ386" s="740"/>
      <c r="DR386" s="740"/>
      <c r="DS386" s="740"/>
      <c r="DT386" s="740"/>
      <c r="DU386" s="740"/>
      <c r="DV386" s="740"/>
      <c r="DW386" s="740"/>
      <c r="DX386" s="740"/>
      <c r="DY386" s="740"/>
      <c r="DZ386" s="740"/>
      <c r="EA386" s="740"/>
      <c r="EB386" s="740"/>
      <c r="EC386" s="740"/>
      <c r="ED386" s="740"/>
      <c r="EE386" s="740"/>
      <c r="EF386" s="740"/>
      <c r="EG386" s="740"/>
      <c r="EH386" s="740"/>
      <c r="EI386" s="740"/>
      <c r="EJ386" s="740"/>
      <c r="EK386" s="740"/>
      <c r="EL386" s="740"/>
      <c r="EM386" s="740"/>
      <c r="EN386" s="740"/>
      <c r="EO386" s="740"/>
      <c r="EP386" s="740"/>
      <c r="EQ386" s="740"/>
      <c r="ER386" s="740"/>
      <c r="ES386" s="740"/>
      <c r="ET386" s="740"/>
      <c r="EU386" s="740"/>
      <c r="EV386" s="740"/>
      <c r="EW386" s="740"/>
      <c r="EX386" s="740"/>
      <c r="EY386" s="740"/>
      <c r="EZ386" s="740"/>
      <c r="FA386" s="740"/>
      <c r="FB386" s="740"/>
      <c r="FC386" s="740"/>
      <c r="FD386" s="740"/>
      <c r="FE386" s="740"/>
      <c r="FF386" s="740"/>
      <c r="FG386" s="740"/>
      <c r="FH386" s="740"/>
      <c r="FI386" s="740"/>
      <c r="FJ386" s="740"/>
      <c r="FK386" s="740"/>
      <c r="FL386" s="740"/>
      <c r="FM386" s="740"/>
      <c r="FN386" s="740"/>
      <c r="FO386" s="740"/>
      <c r="FP386" s="740"/>
      <c r="FQ386" s="740"/>
      <c r="FR386" s="740"/>
      <c r="FS386" s="740"/>
      <c r="FT386" s="740"/>
      <c r="FU386" s="740"/>
      <c r="FV386" s="740"/>
      <c r="FW386" s="740"/>
      <c r="FX386" s="740"/>
      <c r="FY386" s="740"/>
      <c r="FZ386" s="740"/>
      <c r="GA386" s="740"/>
      <c r="GB386" s="740"/>
      <c r="GC386" s="740"/>
      <c r="GD386" s="740"/>
      <c r="GE386" s="740"/>
      <c r="GF386" s="740"/>
      <c r="GG386" s="740"/>
      <c r="GH386" s="740"/>
      <c r="GI386" s="740"/>
      <c r="GJ386" s="740"/>
      <c r="GK386" s="740"/>
      <c r="GL386" s="740"/>
      <c r="GM386" s="740"/>
      <c r="GN386" s="740"/>
      <c r="GO386" s="740"/>
      <c r="GP386" s="740"/>
      <c r="GQ386" s="740"/>
      <c r="GR386" s="740"/>
      <c r="GS386" s="740"/>
      <c r="GT386" s="740"/>
      <c r="GU386" s="740"/>
      <c r="GV386" s="740"/>
      <c r="GW386" s="740"/>
    </row>
    <row r="387" spans="18:205" ht="24" customHeight="1" x14ac:dyDescent="0.2">
      <c r="R387" s="740"/>
      <c r="S387" s="740"/>
      <c r="T387" s="740"/>
      <c r="U387" s="740"/>
      <c r="V387" s="740"/>
      <c r="W387" s="740"/>
      <c r="X387" s="740"/>
      <c r="Y387" s="740"/>
      <c r="Z387" s="740"/>
      <c r="AA387" s="740"/>
      <c r="AB387" s="740"/>
      <c r="AC387" s="740"/>
      <c r="AD387" s="740"/>
      <c r="AE387" s="740"/>
      <c r="AF387" s="740"/>
      <c r="AG387" s="740"/>
      <c r="AH387" s="740"/>
      <c r="AI387" s="740"/>
      <c r="AJ387" s="740"/>
      <c r="AK387" s="740"/>
      <c r="AL387" s="740"/>
      <c r="AM387" s="740"/>
      <c r="AN387" s="740"/>
      <c r="AO387" s="740"/>
      <c r="AP387" s="740"/>
      <c r="AQ387" s="740"/>
      <c r="AR387" s="740"/>
      <c r="AS387" s="740"/>
      <c r="AT387" s="740"/>
      <c r="AU387" s="740"/>
      <c r="AV387" s="740"/>
      <c r="AW387" s="740"/>
      <c r="AX387" s="740"/>
      <c r="AY387" s="740"/>
      <c r="AZ387" s="740"/>
      <c r="BA387" s="740"/>
      <c r="BB387" s="740"/>
      <c r="BC387" s="740"/>
      <c r="BD387" s="740"/>
      <c r="BE387" s="740"/>
      <c r="BF387" s="740"/>
      <c r="BG387" s="740"/>
      <c r="BH387" s="740"/>
      <c r="BI387" s="740"/>
      <c r="BJ387" s="740"/>
      <c r="BK387" s="740"/>
      <c r="BL387" s="740"/>
      <c r="BM387" s="740"/>
      <c r="BN387" s="740"/>
      <c r="BO387" s="740"/>
      <c r="BP387" s="740"/>
      <c r="BQ387" s="740"/>
      <c r="BR387" s="740"/>
      <c r="BS387" s="740"/>
      <c r="BT387" s="740"/>
      <c r="BU387" s="740"/>
      <c r="BV387" s="740"/>
      <c r="BW387" s="740"/>
      <c r="BX387" s="740"/>
      <c r="BY387" s="740"/>
      <c r="BZ387" s="740"/>
      <c r="CA387" s="740"/>
      <c r="CB387" s="740"/>
      <c r="CC387" s="740"/>
      <c r="CD387" s="740"/>
      <c r="CE387" s="740"/>
      <c r="CF387" s="740"/>
      <c r="CG387" s="740"/>
      <c r="CH387" s="740"/>
      <c r="CI387" s="740"/>
      <c r="CJ387" s="740"/>
      <c r="CK387" s="740"/>
      <c r="CL387" s="740"/>
      <c r="CM387" s="740"/>
      <c r="CN387" s="740"/>
      <c r="CO387" s="740"/>
      <c r="CP387" s="740"/>
      <c r="CQ387" s="740"/>
      <c r="CR387" s="740"/>
      <c r="CS387" s="740"/>
      <c r="CT387" s="740"/>
      <c r="CU387" s="740"/>
      <c r="CV387" s="740"/>
      <c r="CW387" s="740"/>
      <c r="CX387" s="740"/>
      <c r="CY387" s="740"/>
      <c r="CZ387" s="740"/>
      <c r="DA387" s="740"/>
      <c r="DB387" s="740"/>
      <c r="DC387" s="740"/>
      <c r="DD387" s="740"/>
      <c r="DE387" s="740"/>
      <c r="DF387" s="740"/>
      <c r="DG387" s="740"/>
      <c r="DH387" s="740"/>
      <c r="DI387" s="740"/>
      <c r="DJ387" s="740"/>
      <c r="DK387" s="740"/>
      <c r="DL387" s="740"/>
      <c r="DM387" s="740"/>
      <c r="DN387" s="740"/>
      <c r="DO387" s="740"/>
      <c r="DP387" s="740"/>
      <c r="DQ387" s="740"/>
      <c r="DR387" s="740"/>
      <c r="DS387" s="740"/>
      <c r="DT387" s="740"/>
      <c r="DU387" s="740"/>
      <c r="DV387" s="740"/>
      <c r="DW387" s="740"/>
      <c r="DX387" s="740"/>
      <c r="DY387" s="740"/>
      <c r="DZ387" s="740"/>
      <c r="EA387" s="740"/>
      <c r="EB387" s="740"/>
      <c r="EC387" s="740"/>
      <c r="ED387" s="740"/>
      <c r="EE387" s="740"/>
      <c r="EF387" s="740"/>
      <c r="EG387" s="740"/>
      <c r="EH387" s="740"/>
      <c r="EI387" s="740"/>
      <c r="EJ387" s="740"/>
      <c r="EK387" s="740"/>
      <c r="EL387" s="740"/>
      <c r="EM387" s="740"/>
      <c r="EN387" s="740"/>
      <c r="EO387" s="740"/>
      <c r="EP387" s="740"/>
      <c r="EQ387" s="740"/>
      <c r="ER387" s="740"/>
      <c r="ES387" s="740"/>
      <c r="ET387" s="740"/>
      <c r="EU387" s="740"/>
      <c r="EV387" s="740"/>
      <c r="EW387" s="740"/>
      <c r="EX387" s="740"/>
      <c r="EY387" s="740"/>
      <c r="EZ387" s="740"/>
      <c r="FA387" s="740"/>
      <c r="FB387" s="740"/>
      <c r="FC387" s="740"/>
      <c r="FD387" s="740"/>
      <c r="FE387" s="740"/>
      <c r="FF387" s="740"/>
      <c r="FG387" s="740"/>
      <c r="FH387" s="740"/>
      <c r="FI387" s="740"/>
      <c r="FJ387" s="740"/>
      <c r="FK387" s="740"/>
      <c r="FL387" s="740"/>
      <c r="FM387" s="740"/>
      <c r="FN387" s="740"/>
      <c r="FO387" s="740"/>
      <c r="FP387" s="740"/>
      <c r="FQ387" s="740"/>
      <c r="FR387" s="740"/>
      <c r="FS387" s="740"/>
      <c r="FT387" s="740"/>
      <c r="FU387" s="740"/>
      <c r="FV387" s="740"/>
      <c r="FW387" s="740"/>
      <c r="FX387" s="740"/>
      <c r="FY387" s="740"/>
      <c r="FZ387" s="740"/>
      <c r="GA387" s="740"/>
      <c r="GB387" s="740"/>
      <c r="GC387" s="740"/>
      <c r="GD387" s="740"/>
      <c r="GE387" s="740"/>
      <c r="GF387" s="740"/>
      <c r="GG387" s="740"/>
      <c r="GH387" s="740"/>
      <c r="GI387" s="740"/>
      <c r="GJ387" s="740"/>
      <c r="GK387" s="740"/>
      <c r="GL387" s="740"/>
      <c r="GM387" s="740"/>
      <c r="GN387" s="740"/>
      <c r="GO387" s="740"/>
      <c r="GP387" s="740"/>
      <c r="GQ387" s="740"/>
      <c r="GR387" s="740"/>
      <c r="GS387" s="740"/>
      <c r="GT387" s="740"/>
      <c r="GU387" s="740"/>
      <c r="GV387" s="740"/>
      <c r="GW387" s="740"/>
    </row>
    <row r="388" spans="18:205" ht="24" customHeight="1" x14ac:dyDescent="0.2">
      <c r="R388" s="740"/>
      <c r="S388" s="740"/>
      <c r="T388" s="740"/>
      <c r="U388" s="740"/>
      <c r="V388" s="740"/>
      <c r="W388" s="740"/>
      <c r="X388" s="740"/>
      <c r="Y388" s="740"/>
      <c r="Z388" s="740"/>
      <c r="AA388" s="740"/>
      <c r="AB388" s="740"/>
      <c r="AC388" s="740"/>
      <c r="AD388" s="740"/>
      <c r="AE388" s="740"/>
      <c r="AF388" s="740"/>
      <c r="AG388" s="740"/>
      <c r="AH388" s="740"/>
      <c r="AI388" s="740"/>
      <c r="AJ388" s="740"/>
      <c r="AK388" s="740"/>
      <c r="AL388" s="740"/>
      <c r="AM388" s="740"/>
      <c r="AN388" s="740"/>
      <c r="AO388" s="740"/>
      <c r="AP388" s="740"/>
      <c r="AQ388" s="740"/>
      <c r="AR388" s="740"/>
      <c r="AS388" s="740"/>
      <c r="AT388" s="740"/>
      <c r="AU388" s="740"/>
      <c r="AV388" s="740"/>
      <c r="AW388" s="740"/>
      <c r="AX388" s="740"/>
      <c r="AY388" s="740"/>
      <c r="AZ388" s="740"/>
      <c r="BA388" s="740"/>
      <c r="BB388" s="740"/>
      <c r="BC388" s="740"/>
      <c r="BD388" s="740"/>
      <c r="BE388" s="740"/>
      <c r="BF388" s="740"/>
      <c r="BG388" s="740"/>
      <c r="BH388" s="740"/>
      <c r="BI388" s="740"/>
      <c r="BJ388" s="740"/>
      <c r="BK388" s="740"/>
      <c r="BL388" s="740"/>
      <c r="BM388" s="740"/>
      <c r="BN388" s="740"/>
      <c r="BO388" s="740"/>
      <c r="BP388" s="740"/>
      <c r="BQ388" s="740"/>
      <c r="BR388" s="740"/>
      <c r="BS388" s="740"/>
      <c r="BT388" s="740"/>
      <c r="BU388" s="740"/>
      <c r="BV388" s="740"/>
      <c r="BW388" s="740"/>
      <c r="BX388" s="740"/>
      <c r="BY388" s="740"/>
      <c r="BZ388" s="740"/>
      <c r="CA388" s="740"/>
      <c r="CB388" s="740"/>
      <c r="CC388" s="740"/>
      <c r="CD388" s="740"/>
      <c r="CE388" s="740"/>
      <c r="CF388" s="740"/>
      <c r="CG388" s="740"/>
      <c r="CH388" s="740"/>
      <c r="CI388" s="740"/>
      <c r="CJ388" s="740"/>
      <c r="CK388" s="740"/>
      <c r="CL388" s="740"/>
      <c r="CM388" s="740"/>
      <c r="CN388" s="740"/>
      <c r="CO388" s="740"/>
      <c r="CP388" s="740"/>
      <c r="CQ388" s="740"/>
      <c r="CR388" s="740"/>
      <c r="CS388" s="740"/>
      <c r="CT388" s="740"/>
      <c r="CU388" s="740"/>
      <c r="CV388" s="740"/>
      <c r="CW388" s="740"/>
      <c r="CX388" s="740"/>
      <c r="CY388" s="740"/>
      <c r="CZ388" s="740"/>
      <c r="DA388" s="740"/>
      <c r="DB388" s="740"/>
      <c r="DC388" s="740"/>
      <c r="DD388" s="740"/>
      <c r="DE388" s="740"/>
      <c r="DF388" s="740"/>
      <c r="DG388" s="740"/>
      <c r="DH388" s="740"/>
      <c r="DI388" s="740"/>
      <c r="DJ388" s="740"/>
      <c r="DK388" s="740"/>
      <c r="DL388" s="740"/>
      <c r="DM388" s="740"/>
      <c r="DN388" s="740"/>
      <c r="DO388" s="740"/>
      <c r="DP388" s="740"/>
      <c r="DQ388" s="740"/>
      <c r="DR388" s="740"/>
      <c r="DS388" s="740"/>
      <c r="DT388" s="740"/>
      <c r="DU388" s="740"/>
      <c r="DV388" s="740"/>
      <c r="DW388" s="740"/>
      <c r="DX388" s="740"/>
      <c r="DY388" s="740"/>
      <c r="DZ388" s="740"/>
      <c r="EA388" s="740"/>
      <c r="EB388" s="740"/>
      <c r="EC388" s="740"/>
      <c r="ED388" s="740"/>
      <c r="EE388" s="740"/>
      <c r="EF388" s="740"/>
      <c r="EG388" s="740"/>
      <c r="EH388" s="740"/>
      <c r="EI388" s="740"/>
      <c r="EJ388" s="740"/>
      <c r="EK388" s="740"/>
      <c r="EL388" s="740"/>
      <c r="EM388" s="740"/>
      <c r="EN388" s="740"/>
      <c r="EO388" s="740"/>
      <c r="EP388" s="740"/>
      <c r="EQ388" s="740"/>
      <c r="ER388" s="740"/>
      <c r="ES388" s="740"/>
      <c r="ET388" s="740"/>
      <c r="EU388" s="740"/>
      <c r="EV388" s="740"/>
      <c r="EW388" s="740"/>
      <c r="EX388" s="740"/>
      <c r="EY388" s="740"/>
      <c r="EZ388" s="740"/>
      <c r="FA388" s="740"/>
      <c r="FB388" s="740"/>
      <c r="FC388" s="740"/>
      <c r="FD388" s="740"/>
      <c r="FE388" s="740"/>
      <c r="FF388" s="740"/>
      <c r="FG388" s="740"/>
      <c r="FH388" s="740"/>
      <c r="FI388" s="740"/>
      <c r="FJ388" s="740"/>
      <c r="FK388" s="740"/>
      <c r="FL388" s="740"/>
      <c r="FM388" s="740"/>
      <c r="FN388" s="740"/>
      <c r="FO388" s="740"/>
      <c r="FP388" s="740"/>
      <c r="FQ388" s="740"/>
      <c r="FR388" s="740"/>
      <c r="FS388" s="740"/>
      <c r="FT388" s="740"/>
      <c r="FU388" s="740"/>
      <c r="FV388" s="740"/>
      <c r="FW388" s="740"/>
      <c r="FX388" s="740"/>
      <c r="FY388" s="740"/>
      <c r="FZ388" s="740"/>
      <c r="GA388" s="740"/>
      <c r="GB388" s="740"/>
      <c r="GC388" s="740"/>
      <c r="GD388" s="740"/>
      <c r="GE388" s="740"/>
      <c r="GF388" s="740"/>
      <c r="GG388" s="740"/>
      <c r="GH388" s="740"/>
      <c r="GI388" s="740"/>
      <c r="GJ388" s="740"/>
      <c r="GK388" s="740"/>
      <c r="GL388" s="740"/>
      <c r="GM388" s="740"/>
      <c r="GN388" s="740"/>
      <c r="GO388" s="740"/>
      <c r="GP388" s="740"/>
      <c r="GQ388" s="740"/>
      <c r="GR388" s="740"/>
      <c r="GS388" s="740"/>
      <c r="GT388" s="740"/>
      <c r="GU388" s="740"/>
      <c r="GV388" s="740"/>
      <c r="GW388" s="740"/>
    </row>
    <row r="389" spans="18:205" ht="24" customHeight="1" x14ac:dyDescent="0.2">
      <c r="R389" s="740"/>
      <c r="S389" s="740"/>
      <c r="T389" s="740"/>
      <c r="U389" s="740"/>
      <c r="V389" s="740"/>
      <c r="W389" s="740"/>
      <c r="X389" s="740"/>
      <c r="Y389" s="740"/>
      <c r="Z389" s="740"/>
      <c r="AA389" s="740"/>
      <c r="AB389" s="740"/>
      <c r="AC389" s="740"/>
      <c r="AD389" s="740"/>
      <c r="AE389" s="740"/>
      <c r="AF389" s="740"/>
      <c r="AG389" s="740"/>
      <c r="AH389" s="740"/>
      <c r="AI389" s="740"/>
      <c r="AJ389" s="740"/>
      <c r="AK389" s="740"/>
      <c r="AL389" s="740"/>
      <c r="AM389" s="740"/>
      <c r="AN389" s="740"/>
      <c r="AO389" s="740"/>
      <c r="AP389" s="740"/>
      <c r="AQ389" s="740"/>
      <c r="AR389" s="740"/>
      <c r="AS389" s="740"/>
      <c r="AT389" s="740"/>
      <c r="AU389" s="740"/>
      <c r="AV389" s="740"/>
      <c r="AW389" s="740"/>
      <c r="AX389" s="740"/>
      <c r="AY389" s="740"/>
      <c r="AZ389" s="740"/>
      <c r="BA389" s="740"/>
      <c r="BB389" s="740"/>
      <c r="BC389" s="740"/>
      <c r="BD389" s="740"/>
      <c r="BE389" s="740"/>
      <c r="BF389" s="740"/>
      <c r="BG389" s="740"/>
      <c r="BH389" s="740"/>
      <c r="BI389" s="740"/>
      <c r="BJ389" s="740"/>
      <c r="BK389" s="740"/>
      <c r="BL389" s="740"/>
      <c r="BM389" s="740"/>
      <c r="BN389" s="740"/>
      <c r="BO389" s="740"/>
      <c r="BP389" s="740"/>
      <c r="BQ389" s="740"/>
      <c r="BR389" s="740"/>
      <c r="BS389" s="740"/>
      <c r="BT389" s="740"/>
      <c r="BU389" s="740"/>
      <c r="BV389" s="740"/>
      <c r="BW389" s="740"/>
      <c r="BX389" s="740"/>
      <c r="BY389" s="740"/>
      <c r="BZ389" s="740"/>
      <c r="CA389" s="740"/>
      <c r="CB389" s="740"/>
      <c r="CC389" s="740"/>
      <c r="CD389" s="740"/>
      <c r="CE389" s="740"/>
      <c r="CF389" s="740"/>
      <c r="CG389" s="740"/>
      <c r="CH389" s="740"/>
      <c r="CI389" s="740"/>
      <c r="CJ389" s="740"/>
      <c r="CK389" s="740"/>
      <c r="CL389" s="740"/>
      <c r="CM389" s="740"/>
      <c r="CN389" s="740"/>
      <c r="CO389" s="740"/>
      <c r="CP389" s="740"/>
      <c r="CQ389" s="740"/>
      <c r="CR389" s="740"/>
      <c r="CS389" s="740"/>
      <c r="CT389" s="740"/>
      <c r="CU389" s="740"/>
      <c r="CV389" s="740"/>
      <c r="CW389" s="740"/>
      <c r="CX389" s="740"/>
      <c r="CY389" s="740"/>
      <c r="CZ389" s="740"/>
      <c r="DA389" s="740"/>
      <c r="DB389" s="740"/>
      <c r="DC389" s="740"/>
      <c r="DD389" s="740"/>
      <c r="DE389" s="740"/>
      <c r="DF389" s="740"/>
      <c r="DG389" s="740"/>
      <c r="DH389" s="740"/>
      <c r="DI389" s="740"/>
      <c r="DJ389" s="740"/>
      <c r="DK389" s="740"/>
      <c r="DL389" s="740"/>
      <c r="DM389" s="740"/>
      <c r="DN389" s="740"/>
      <c r="DO389" s="740"/>
      <c r="DP389" s="740"/>
      <c r="DQ389" s="740"/>
      <c r="DR389" s="740"/>
      <c r="DS389" s="740"/>
      <c r="DT389" s="740"/>
      <c r="DU389" s="740"/>
      <c r="DV389" s="740"/>
      <c r="DW389" s="740"/>
      <c r="DX389" s="740"/>
      <c r="DY389" s="740"/>
      <c r="DZ389" s="740"/>
      <c r="EA389" s="740"/>
      <c r="EB389" s="740"/>
      <c r="EC389" s="740"/>
      <c r="ED389" s="740"/>
      <c r="EE389" s="740"/>
      <c r="EF389" s="740"/>
      <c r="EG389" s="740"/>
      <c r="EH389" s="740"/>
      <c r="EI389" s="740"/>
      <c r="EJ389" s="740"/>
      <c r="EK389" s="740"/>
      <c r="EL389" s="740"/>
      <c r="EM389" s="740"/>
      <c r="EN389" s="740"/>
      <c r="EO389" s="740"/>
      <c r="EP389" s="740"/>
      <c r="EQ389" s="740"/>
      <c r="ER389" s="740"/>
      <c r="ES389" s="740"/>
      <c r="ET389" s="740"/>
      <c r="EU389" s="740"/>
      <c r="EV389" s="740"/>
      <c r="EW389" s="740"/>
      <c r="EX389" s="740"/>
      <c r="EY389" s="740"/>
      <c r="EZ389" s="740"/>
      <c r="FA389" s="740"/>
      <c r="FB389" s="740"/>
      <c r="FC389" s="740"/>
      <c r="FD389" s="740"/>
      <c r="FE389" s="740"/>
      <c r="FF389" s="740"/>
      <c r="FG389" s="740"/>
      <c r="FH389" s="740"/>
      <c r="FI389" s="740"/>
      <c r="FJ389" s="740"/>
      <c r="FK389" s="740"/>
      <c r="FL389" s="740"/>
      <c r="FM389" s="740"/>
      <c r="FN389" s="740"/>
      <c r="FO389" s="740"/>
      <c r="FP389" s="740"/>
      <c r="FQ389" s="740"/>
      <c r="FR389" s="740"/>
      <c r="FS389" s="740"/>
      <c r="FT389" s="740"/>
      <c r="FU389" s="740"/>
      <c r="FV389" s="740"/>
      <c r="FW389" s="740"/>
      <c r="FX389" s="740"/>
      <c r="FY389" s="740"/>
      <c r="FZ389" s="740"/>
      <c r="GA389" s="740"/>
      <c r="GB389" s="740"/>
      <c r="GC389" s="740"/>
      <c r="GD389" s="740"/>
      <c r="GE389" s="740"/>
      <c r="GF389" s="740"/>
      <c r="GG389" s="740"/>
      <c r="GH389" s="740"/>
      <c r="GI389" s="740"/>
      <c r="GJ389" s="740"/>
      <c r="GK389" s="740"/>
      <c r="GL389" s="740"/>
      <c r="GM389" s="740"/>
      <c r="GN389" s="740"/>
      <c r="GO389" s="740"/>
      <c r="GP389" s="740"/>
      <c r="GQ389" s="740"/>
      <c r="GR389" s="740"/>
      <c r="GS389" s="740"/>
      <c r="GT389" s="740"/>
      <c r="GU389" s="740"/>
      <c r="GV389" s="740"/>
      <c r="GW389" s="740"/>
    </row>
    <row r="390" spans="18:205" ht="24" customHeight="1" x14ac:dyDescent="0.2">
      <c r="R390" s="740"/>
      <c r="S390" s="740"/>
      <c r="T390" s="740"/>
      <c r="U390" s="740"/>
      <c r="V390" s="740"/>
      <c r="W390" s="740"/>
      <c r="X390" s="740"/>
      <c r="Y390" s="740"/>
      <c r="Z390" s="740"/>
      <c r="AA390" s="740"/>
      <c r="AB390" s="740"/>
      <c r="AC390" s="740"/>
      <c r="AD390" s="740"/>
      <c r="AE390" s="740"/>
      <c r="AF390" s="740"/>
      <c r="AG390" s="740"/>
      <c r="AH390" s="740"/>
      <c r="AI390" s="740"/>
      <c r="AJ390" s="740"/>
      <c r="AK390" s="740"/>
      <c r="AL390" s="740"/>
      <c r="AM390" s="740"/>
      <c r="AN390" s="740"/>
      <c r="AO390" s="740"/>
      <c r="AP390" s="740"/>
      <c r="AQ390" s="740"/>
      <c r="AR390" s="740"/>
      <c r="AS390" s="740"/>
      <c r="AT390" s="740"/>
      <c r="AU390" s="740"/>
      <c r="AV390" s="740"/>
      <c r="AW390" s="740"/>
      <c r="AX390" s="740"/>
      <c r="AY390" s="740"/>
      <c r="AZ390" s="740"/>
      <c r="BA390" s="740"/>
      <c r="BB390" s="740"/>
      <c r="BC390" s="740"/>
      <c r="BD390" s="740"/>
      <c r="BE390" s="740"/>
      <c r="BF390" s="740"/>
      <c r="BG390" s="740"/>
      <c r="BH390" s="740"/>
      <c r="BI390" s="740"/>
      <c r="BJ390" s="740"/>
      <c r="BK390" s="740"/>
      <c r="BL390" s="740"/>
      <c r="BM390" s="740"/>
      <c r="BN390" s="740"/>
      <c r="BO390" s="740"/>
      <c r="BP390" s="740"/>
      <c r="BQ390" s="740"/>
      <c r="BR390" s="740"/>
      <c r="BS390" s="740"/>
      <c r="BT390" s="740"/>
      <c r="BU390" s="740"/>
      <c r="BV390" s="740"/>
      <c r="BW390" s="740"/>
      <c r="BX390" s="740"/>
      <c r="BY390" s="740"/>
      <c r="BZ390" s="740"/>
      <c r="CA390" s="740"/>
      <c r="CB390" s="740"/>
      <c r="CC390" s="740"/>
      <c r="CD390" s="740"/>
      <c r="CE390" s="740"/>
      <c r="CF390" s="740"/>
      <c r="CG390" s="740"/>
      <c r="CH390" s="740"/>
      <c r="CI390" s="740"/>
      <c r="CJ390" s="740"/>
      <c r="CK390" s="740"/>
      <c r="CL390" s="740"/>
      <c r="CM390" s="740"/>
      <c r="CN390" s="740"/>
      <c r="CO390" s="740"/>
      <c r="CP390" s="740"/>
      <c r="CQ390" s="740"/>
      <c r="CR390" s="740"/>
      <c r="CS390" s="740"/>
      <c r="CT390" s="740"/>
      <c r="CU390" s="740"/>
      <c r="CV390" s="740"/>
      <c r="CW390" s="740"/>
      <c r="CX390" s="740"/>
      <c r="CY390" s="740"/>
      <c r="CZ390" s="740"/>
      <c r="DA390" s="740"/>
      <c r="DB390" s="740"/>
      <c r="DC390" s="740"/>
      <c r="DD390" s="740"/>
      <c r="DE390" s="740"/>
      <c r="DF390" s="740"/>
      <c r="DG390" s="740"/>
      <c r="DH390" s="740"/>
      <c r="DI390" s="740"/>
      <c r="DJ390" s="740"/>
      <c r="DK390" s="740"/>
      <c r="DL390" s="740"/>
      <c r="DM390" s="740"/>
      <c r="DN390" s="740"/>
      <c r="DO390" s="740"/>
      <c r="DP390" s="740"/>
      <c r="DQ390" s="740"/>
      <c r="DR390" s="740"/>
      <c r="DS390" s="740"/>
      <c r="DT390" s="740"/>
      <c r="DU390" s="740"/>
      <c r="DV390" s="740"/>
      <c r="DW390" s="740"/>
      <c r="DX390" s="740"/>
      <c r="DY390" s="740"/>
      <c r="DZ390" s="740"/>
      <c r="EA390" s="740"/>
      <c r="EB390" s="740"/>
      <c r="EC390" s="740"/>
      <c r="ED390" s="740"/>
      <c r="EE390" s="740"/>
      <c r="EF390" s="740"/>
      <c r="EG390" s="740"/>
      <c r="EH390" s="740"/>
      <c r="EI390" s="740"/>
      <c r="EJ390" s="740"/>
      <c r="EK390" s="740"/>
      <c r="EL390" s="740"/>
      <c r="EM390" s="740"/>
      <c r="EN390" s="740"/>
      <c r="EO390" s="740"/>
      <c r="EP390" s="740"/>
      <c r="EQ390" s="740"/>
      <c r="ER390" s="740"/>
      <c r="ES390" s="740"/>
      <c r="ET390" s="740"/>
      <c r="EU390" s="740"/>
      <c r="EV390" s="740"/>
      <c r="EW390" s="740"/>
      <c r="EX390" s="740"/>
      <c r="EY390" s="740"/>
      <c r="EZ390" s="740"/>
      <c r="FA390" s="740"/>
      <c r="FB390" s="740"/>
      <c r="FC390" s="740"/>
      <c r="FD390" s="740"/>
      <c r="FE390" s="740"/>
      <c r="FF390" s="740"/>
      <c r="FG390" s="740"/>
      <c r="FH390" s="740"/>
      <c r="FI390" s="740"/>
      <c r="FJ390" s="740"/>
      <c r="FK390" s="740"/>
      <c r="FL390" s="740"/>
      <c r="FM390" s="740"/>
      <c r="FN390" s="740"/>
      <c r="FO390" s="740"/>
      <c r="FP390" s="740"/>
      <c r="FQ390" s="740"/>
      <c r="FR390" s="740"/>
      <c r="FS390" s="740"/>
      <c r="FT390" s="740"/>
      <c r="FU390" s="740"/>
      <c r="FV390" s="740"/>
      <c r="FW390" s="740"/>
      <c r="FX390" s="740"/>
      <c r="FY390" s="740"/>
      <c r="FZ390" s="740"/>
      <c r="GA390" s="740"/>
      <c r="GB390" s="740"/>
      <c r="GC390" s="740"/>
      <c r="GD390" s="740"/>
      <c r="GE390" s="740"/>
      <c r="GF390" s="740"/>
      <c r="GG390" s="740"/>
      <c r="GH390" s="740"/>
      <c r="GI390" s="740"/>
      <c r="GJ390" s="740"/>
      <c r="GK390" s="740"/>
      <c r="GL390" s="740"/>
      <c r="GM390" s="740"/>
      <c r="GN390" s="740"/>
      <c r="GO390" s="740"/>
      <c r="GP390" s="740"/>
      <c r="GQ390" s="740"/>
      <c r="GR390" s="740"/>
      <c r="GS390" s="740"/>
      <c r="GT390" s="740"/>
      <c r="GU390" s="740"/>
      <c r="GV390" s="740"/>
      <c r="GW390" s="740"/>
    </row>
    <row r="391" spans="18:205" ht="24" customHeight="1" x14ac:dyDescent="0.2">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0"/>
      <c r="AM391" s="740"/>
      <c r="AN391" s="740"/>
      <c r="AO391" s="740"/>
      <c r="AP391" s="740"/>
      <c r="AQ391" s="740"/>
      <c r="AR391" s="740"/>
      <c r="AS391" s="740"/>
      <c r="AT391" s="740"/>
      <c r="AU391" s="740"/>
      <c r="AV391" s="740"/>
      <c r="AW391" s="740"/>
      <c r="AX391" s="740"/>
      <c r="AY391" s="740"/>
      <c r="AZ391" s="740"/>
      <c r="BA391" s="740"/>
      <c r="BB391" s="740"/>
      <c r="BC391" s="740"/>
      <c r="BD391" s="740"/>
      <c r="BE391" s="740"/>
      <c r="BF391" s="740"/>
      <c r="BG391" s="740"/>
      <c r="BH391" s="740"/>
      <c r="BI391" s="740"/>
      <c r="BJ391" s="740"/>
      <c r="BK391" s="740"/>
      <c r="BL391" s="740"/>
      <c r="BM391" s="740"/>
      <c r="BN391" s="740"/>
      <c r="BO391" s="740"/>
      <c r="BP391" s="740"/>
      <c r="BQ391" s="740"/>
      <c r="BR391" s="740"/>
      <c r="BS391" s="740"/>
      <c r="BT391" s="740"/>
      <c r="BU391" s="740"/>
      <c r="BV391" s="740"/>
      <c r="BW391" s="740"/>
      <c r="BX391" s="740"/>
      <c r="BY391" s="740"/>
      <c r="BZ391" s="740"/>
      <c r="CA391" s="740"/>
      <c r="CB391" s="740"/>
      <c r="CC391" s="740"/>
      <c r="CD391" s="740"/>
      <c r="CE391" s="740"/>
      <c r="CF391" s="740"/>
      <c r="CG391" s="740"/>
      <c r="CH391" s="740"/>
      <c r="CI391" s="740"/>
      <c r="CJ391" s="740"/>
      <c r="CK391" s="740"/>
      <c r="CL391" s="740"/>
      <c r="CM391" s="740"/>
      <c r="CN391" s="740"/>
      <c r="CO391" s="740"/>
      <c r="CP391" s="740"/>
      <c r="CQ391" s="740"/>
      <c r="CR391" s="740"/>
      <c r="CS391" s="740"/>
      <c r="CT391" s="740"/>
      <c r="CU391" s="740"/>
      <c r="CV391" s="740"/>
      <c r="CW391" s="740"/>
      <c r="CX391" s="740"/>
      <c r="CY391" s="740"/>
      <c r="CZ391" s="740"/>
      <c r="DA391" s="740"/>
      <c r="DB391" s="740"/>
      <c r="DC391" s="740"/>
      <c r="DD391" s="740"/>
      <c r="DE391" s="740"/>
      <c r="DF391" s="740"/>
      <c r="DG391" s="740"/>
      <c r="DH391" s="740"/>
      <c r="DI391" s="740"/>
      <c r="DJ391" s="740"/>
      <c r="DK391" s="740"/>
      <c r="DL391" s="740"/>
      <c r="DM391" s="740"/>
      <c r="DN391" s="740"/>
      <c r="DO391" s="740"/>
      <c r="DP391" s="740"/>
      <c r="DQ391" s="740"/>
      <c r="DR391" s="740"/>
      <c r="DS391" s="740"/>
      <c r="DT391" s="740"/>
      <c r="DU391" s="740"/>
      <c r="DV391" s="740"/>
      <c r="DW391" s="740"/>
      <c r="DX391" s="740"/>
      <c r="DY391" s="740"/>
      <c r="DZ391" s="740"/>
      <c r="EA391" s="740"/>
      <c r="EB391" s="740"/>
      <c r="EC391" s="740"/>
      <c r="ED391" s="740"/>
      <c r="EE391" s="740"/>
      <c r="EF391" s="740"/>
      <c r="EG391" s="740"/>
      <c r="EH391" s="740"/>
      <c r="EI391" s="740"/>
      <c r="EJ391" s="740"/>
      <c r="EK391" s="740"/>
      <c r="EL391" s="740"/>
      <c r="EM391" s="740"/>
      <c r="EN391" s="740"/>
      <c r="EO391" s="740"/>
      <c r="EP391" s="740"/>
      <c r="EQ391" s="740"/>
      <c r="ER391" s="740"/>
      <c r="ES391" s="740"/>
      <c r="ET391" s="740"/>
      <c r="EU391" s="740"/>
      <c r="EV391" s="740"/>
      <c r="EW391" s="740"/>
      <c r="EX391" s="740"/>
      <c r="EY391" s="740"/>
      <c r="EZ391" s="740"/>
      <c r="FA391" s="740"/>
      <c r="FB391" s="740"/>
      <c r="FC391" s="740"/>
      <c r="FD391" s="740"/>
      <c r="FE391" s="740"/>
      <c r="FF391" s="740"/>
      <c r="FG391" s="740"/>
      <c r="FH391" s="740"/>
      <c r="FI391" s="740"/>
      <c r="FJ391" s="740"/>
      <c r="FK391" s="740"/>
      <c r="FL391" s="740"/>
      <c r="FM391" s="740"/>
      <c r="FN391" s="740"/>
      <c r="FO391" s="740"/>
      <c r="FP391" s="740"/>
      <c r="FQ391" s="740"/>
      <c r="FR391" s="740"/>
      <c r="FS391" s="740"/>
      <c r="FT391" s="740"/>
      <c r="FU391" s="740"/>
      <c r="FV391" s="740"/>
      <c r="FW391" s="740"/>
      <c r="FX391" s="740"/>
      <c r="FY391" s="740"/>
      <c r="FZ391" s="740"/>
      <c r="GA391" s="740"/>
      <c r="GB391" s="740"/>
      <c r="GC391" s="740"/>
      <c r="GD391" s="740"/>
      <c r="GE391" s="740"/>
      <c r="GF391" s="740"/>
      <c r="GG391" s="740"/>
      <c r="GH391" s="740"/>
      <c r="GI391" s="740"/>
      <c r="GJ391" s="740"/>
      <c r="GK391" s="740"/>
      <c r="GL391" s="740"/>
      <c r="GM391" s="740"/>
      <c r="GN391" s="740"/>
      <c r="GO391" s="740"/>
      <c r="GP391" s="740"/>
      <c r="GQ391" s="740"/>
      <c r="GR391" s="740"/>
      <c r="GS391" s="740"/>
      <c r="GT391" s="740"/>
      <c r="GU391" s="740"/>
      <c r="GV391" s="740"/>
      <c r="GW391" s="740"/>
    </row>
    <row r="392" spans="18:205" ht="24" customHeight="1" x14ac:dyDescent="0.2">
      <c r="R392" s="740"/>
      <c r="S392" s="740"/>
      <c r="T392" s="740"/>
      <c r="U392" s="740"/>
      <c r="V392" s="740"/>
      <c r="W392" s="740"/>
      <c r="X392" s="740"/>
      <c r="Y392" s="740"/>
      <c r="Z392" s="740"/>
      <c r="AA392" s="740"/>
      <c r="AB392" s="740"/>
      <c r="AC392" s="740"/>
      <c r="AD392" s="740"/>
      <c r="AE392" s="740"/>
      <c r="AF392" s="740"/>
      <c r="AG392" s="740"/>
      <c r="AH392" s="740"/>
      <c r="AI392" s="740"/>
      <c r="AJ392" s="740"/>
      <c r="AK392" s="740"/>
      <c r="AL392" s="740"/>
      <c r="AM392" s="740"/>
      <c r="AN392" s="740"/>
      <c r="AO392" s="740"/>
      <c r="AP392" s="740"/>
      <c r="AQ392" s="740"/>
      <c r="AR392" s="740"/>
      <c r="AS392" s="740"/>
      <c r="AT392" s="740"/>
      <c r="AU392" s="740"/>
      <c r="AV392" s="740"/>
      <c r="AW392" s="740"/>
      <c r="AX392" s="740"/>
      <c r="AY392" s="740"/>
      <c r="AZ392" s="740"/>
      <c r="BA392" s="740"/>
      <c r="BB392" s="740"/>
      <c r="BC392" s="740"/>
      <c r="BD392" s="740"/>
      <c r="BE392" s="740"/>
      <c r="BF392" s="740"/>
      <c r="BG392" s="740"/>
      <c r="BH392" s="740"/>
      <c r="BI392" s="740"/>
      <c r="BJ392" s="740"/>
      <c r="BK392" s="740"/>
      <c r="BL392" s="740"/>
      <c r="BM392" s="740"/>
      <c r="BN392" s="740"/>
      <c r="BO392" s="740"/>
      <c r="BP392" s="740"/>
      <c r="BQ392" s="740"/>
      <c r="BR392" s="740"/>
      <c r="BS392" s="740"/>
      <c r="BT392" s="740"/>
      <c r="BU392" s="740"/>
      <c r="BV392" s="740"/>
      <c r="BW392" s="740"/>
      <c r="BX392" s="740"/>
      <c r="BY392" s="740"/>
      <c r="BZ392" s="740"/>
      <c r="CA392" s="740"/>
      <c r="CB392" s="740"/>
      <c r="CC392" s="740"/>
      <c r="CD392" s="740"/>
      <c r="CE392" s="740"/>
      <c r="CF392" s="740"/>
      <c r="CG392" s="740"/>
      <c r="CH392" s="740"/>
      <c r="CI392" s="740"/>
      <c r="CJ392" s="740"/>
      <c r="CK392" s="740"/>
      <c r="CL392" s="740"/>
      <c r="CM392" s="740"/>
      <c r="CN392" s="740"/>
      <c r="CO392" s="740"/>
      <c r="CP392" s="740"/>
      <c r="CQ392" s="740"/>
      <c r="CR392" s="740"/>
      <c r="CS392" s="740"/>
      <c r="CT392" s="740"/>
      <c r="CU392" s="740"/>
      <c r="CV392" s="740"/>
      <c r="CW392" s="740"/>
      <c r="CX392" s="740"/>
      <c r="CY392" s="740"/>
      <c r="CZ392" s="740"/>
      <c r="DA392" s="740"/>
      <c r="DB392" s="740"/>
      <c r="DC392" s="740"/>
      <c r="DD392" s="740"/>
      <c r="DE392" s="740"/>
      <c r="DF392" s="740"/>
      <c r="DG392" s="740"/>
      <c r="DH392" s="740"/>
      <c r="DI392" s="740"/>
      <c r="DJ392" s="740"/>
      <c r="DK392" s="740"/>
      <c r="DL392" s="740"/>
      <c r="DM392" s="740"/>
      <c r="DN392" s="740"/>
      <c r="DO392" s="740"/>
      <c r="DP392" s="740"/>
      <c r="DQ392" s="740"/>
      <c r="DR392" s="740"/>
      <c r="DS392" s="740"/>
      <c r="DT392" s="740"/>
      <c r="DU392" s="740"/>
      <c r="DV392" s="740"/>
      <c r="DW392" s="740"/>
      <c r="DX392" s="740"/>
      <c r="DY392" s="740"/>
      <c r="DZ392" s="740"/>
      <c r="EA392" s="740"/>
      <c r="EB392" s="740"/>
      <c r="EC392" s="740"/>
      <c r="ED392" s="740"/>
      <c r="EE392" s="740"/>
      <c r="EF392" s="740"/>
      <c r="EG392" s="740"/>
      <c r="EH392" s="740"/>
      <c r="EI392" s="740"/>
      <c r="EJ392" s="740"/>
      <c r="EK392" s="740"/>
      <c r="EL392" s="740"/>
      <c r="EM392" s="740"/>
      <c r="EN392" s="740"/>
      <c r="EO392" s="740"/>
      <c r="EP392" s="740"/>
      <c r="EQ392" s="740"/>
      <c r="ER392" s="740"/>
      <c r="ES392" s="740"/>
      <c r="ET392" s="740"/>
      <c r="EU392" s="740"/>
      <c r="EV392" s="740"/>
      <c r="EW392" s="740"/>
      <c r="EX392" s="740"/>
      <c r="EY392" s="740"/>
      <c r="EZ392" s="740"/>
      <c r="FA392" s="740"/>
      <c r="FB392" s="740"/>
      <c r="FC392" s="740"/>
      <c r="FD392" s="740"/>
      <c r="FE392" s="740"/>
      <c r="FF392" s="740"/>
      <c r="FG392" s="740"/>
      <c r="FH392" s="740"/>
      <c r="FI392" s="740"/>
      <c r="FJ392" s="740"/>
      <c r="FK392" s="740"/>
      <c r="FL392" s="740"/>
      <c r="FM392" s="740"/>
      <c r="FN392" s="740"/>
      <c r="FO392" s="740"/>
      <c r="FP392" s="740"/>
      <c r="FQ392" s="740"/>
      <c r="FR392" s="740"/>
      <c r="FS392" s="740"/>
      <c r="FT392" s="740"/>
      <c r="FU392" s="740"/>
      <c r="FV392" s="740"/>
      <c r="FW392" s="740"/>
      <c r="FX392" s="740"/>
      <c r="FY392" s="740"/>
      <c r="FZ392" s="740"/>
      <c r="GA392" s="740"/>
      <c r="GB392" s="740"/>
      <c r="GC392" s="740"/>
      <c r="GD392" s="740"/>
      <c r="GE392" s="740"/>
      <c r="GF392" s="740"/>
      <c r="GG392" s="740"/>
      <c r="GH392" s="740"/>
      <c r="GI392" s="740"/>
      <c r="GJ392" s="740"/>
      <c r="GK392" s="740"/>
      <c r="GL392" s="740"/>
      <c r="GM392" s="740"/>
      <c r="GN392" s="740"/>
      <c r="GO392" s="740"/>
      <c r="GP392" s="740"/>
      <c r="GQ392" s="740"/>
      <c r="GR392" s="740"/>
      <c r="GS392" s="740"/>
      <c r="GT392" s="740"/>
      <c r="GU392" s="740"/>
      <c r="GV392" s="740"/>
      <c r="GW392" s="740"/>
    </row>
    <row r="393" spans="18:205" ht="24" customHeight="1" x14ac:dyDescent="0.2">
      <c r="R393" s="740"/>
      <c r="S393" s="740"/>
      <c r="T393" s="740"/>
      <c r="U393" s="740"/>
      <c r="V393" s="740"/>
      <c r="W393" s="740"/>
      <c r="X393" s="740"/>
      <c r="Y393" s="740"/>
      <c r="Z393" s="740"/>
      <c r="AA393" s="740"/>
      <c r="AB393" s="740"/>
      <c r="AC393" s="740"/>
      <c r="AD393" s="740"/>
      <c r="AE393" s="740"/>
      <c r="AF393" s="740"/>
      <c r="AG393" s="740"/>
      <c r="AH393" s="740"/>
      <c r="AI393" s="740"/>
      <c r="AJ393" s="740"/>
      <c r="AK393" s="740"/>
      <c r="AL393" s="740"/>
      <c r="AM393" s="740"/>
      <c r="AN393" s="740"/>
      <c r="AO393" s="740"/>
      <c r="AP393" s="740"/>
      <c r="AQ393" s="740"/>
      <c r="AR393" s="740"/>
      <c r="AS393" s="740"/>
      <c r="AT393" s="740"/>
      <c r="AU393" s="740"/>
      <c r="AV393" s="740"/>
      <c r="AW393" s="740"/>
      <c r="AX393" s="740"/>
      <c r="AY393" s="740"/>
      <c r="AZ393" s="740"/>
      <c r="BA393" s="740"/>
      <c r="BB393" s="740"/>
      <c r="BC393" s="740"/>
      <c r="BD393" s="740"/>
      <c r="BE393" s="740"/>
      <c r="BF393" s="740"/>
      <c r="BG393" s="740"/>
      <c r="BH393" s="740"/>
      <c r="BI393" s="740"/>
      <c r="BJ393" s="740"/>
      <c r="BK393" s="740"/>
      <c r="BL393" s="740"/>
      <c r="BM393" s="740"/>
      <c r="BN393" s="740"/>
      <c r="BO393" s="740"/>
      <c r="BP393" s="740"/>
      <c r="BQ393" s="740"/>
      <c r="BR393" s="740"/>
      <c r="BS393" s="740"/>
      <c r="BT393" s="740"/>
      <c r="BU393" s="740"/>
      <c r="BV393" s="740"/>
      <c r="BW393" s="740"/>
      <c r="BX393" s="740"/>
      <c r="BY393" s="740"/>
      <c r="BZ393" s="740"/>
      <c r="CA393" s="740"/>
      <c r="CB393" s="740"/>
      <c r="CC393" s="740"/>
      <c r="CD393" s="740"/>
      <c r="CE393" s="740"/>
      <c r="CF393" s="740"/>
      <c r="CG393" s="740"/>
      <c r="CH393" s="740"/>
      <c r="CI393" s="740"/>
      <c r="CJ393" s="740"/>
      <c r="CK393" s="740"/>
      <c r="CL393" s="740"/>
      <c r="CM393" s="740"/>
      <c r="CN393" s="740"/>
      <c r="CO393" s="740"/>
      <c r="CP393" s="740"/>
      <c r="CQ393" s="740"/>
      <c r="CR393" s="740"/>
      <c r="CS393" s="740"/>
      <c r="CT393" s="740"/>
      <c r="CU393" s="740"/>
      <c r="CV393" s="740"/>
      <c r="CW393" s="740"/>
      <c r="CX393" s="740"/>
      <c r="CY393" s="740"/>
      <c r="CZ393" s="740"/>
      <c r="DA393" s="740"/>
      <c r="DB393" s="740"/>
      <c r="DC393" s="740"/>
      <c r="DD393" s="740"/>
      <c r="DE393" s="740"/>
      <c r="DF393" s="740"/>
      <c r="DG393" s="740"/>
      <c r="DH393" s="740"/>
      <c r="DI393" s="740"/>
      <c r="DJ393" s="740"/>
      <c r="DK393" s="740"/>
      <c r="DL393" s="740"/>
      <c r="DM393" s="740"/>
      <c r="DN393" s="740"/>
      <c r="DO393" s="740"/>
      <c r="DP393" s="740"/>
      <c r="DQ393" s="740"/>
      <c r="DR393" s="740"/>
      <c r="DS393" s="740"/>
      <c r="DT393" s="740"/>
      <c r="DU393" s="740"/>
      <c r="DV393" s="740"/>
      <c r="DW393" s="740"/>
      <c r="DX393" s="740"/>
      <c r="DY393" s="740"/>
      <c r="DZ393" s="740"/>
      <c r="EA393" s="740"/>
      <c r="EB393" s="740"/>
      <c r="EC393" s="740"/>
      <c r="ED393" s="740"/>
      <c r="EE393" s="740"/>
      <c r="EF393" s="740"/>
      <c r="EG393" s="740"/>
      <c r="EH393" s="740"/>
      <c r="EI393" s="740"/>
      <c r="EJ393" s="740"/>
      <c r="EK393" s="740"/>
      <c r="EL393" s="740"/>
      <c r="EM393" s="740"/>
      <c r="EN393" s="740"/>
      <c r="EO393" s="740"/>
      <c r="EP393" s="740"/>
      <c r="EQ393" s="740"/>
      <c r="ER393" s="740"/>
      <c r="ES393" s="740"/>
      <c r="ET393" s="740"/>
      <c r="EU393" s="740"/>
      <c r="EV393" s="740"/>
      <c r="EW393" s="740"/>
      <c r="EX393" s="740"/>
      <c r="EY393" s="740"/>
      <c r="EZ393" s="740"/>
      <c r="FA393" s="740"/>
      <c r="FB393" s="740"/>
      <c r="FC393" s="740"/>
      <c r="FD393" s="740"/>
      <c r="FE393" s="740"/>
      <c r="FF393" s="740"/>
      <c r="FG393" s="740"/>
      <c r="FH393" s="740"/>
      <c r="FI393" s="740"/>
      <c r="FJ393" s="740"/>
      <c r="FK393" s="740"/>
      <c r="FL393" s="740"/>
      <c r="FM393" s="740"/>
      <c r="FN393" s="740"/>
      <c r="FO393" s="740"/>
      <c r="FP393" s="740"/>
      <c r="FQ393" s="740"/>
      <c r="FR393" s="740"/>
      <c r="FS393" s="740"/>
      <c r="FT393" s="740"/>
      <c r="FU393" s="740"/>
      <c r="FV393" s="740"/>
      <c r="FW393" s="740"/>
      <c r="FX393" s="740"/>
      <c r="FY393" s="740"/>
      <c r="FZ393" s="740"/>
      <c r="GA393" s="740"/>
      <c r="GB393" s="740"/>
      <c r="GC393" s="740"/>
      <c r="GD393" s="740"/>
      <c r="GE393" s="740"/>
      <c r="GF393" s="740"/>
      <c r="GG393" s="740"/>
      <c r="GH393" s="740"/>
      <c r="GI393" s="740"/>
      <c r="GJ393" s="740"/>
      <c r="GK393" s="740"/>
      <c r="GL393" s="740"/>
      <c r="GM393" s="740"/>
      <c r="GN393" s="740"/>
      <c r="GO393" s="740"/>
      <c r="GP393" s="740"/>
      <c r="GQ393" s="740"/>
      <c r="GR393" s="740"/>
      <c r="GS393" s="740"/>
      <c r="GT393" s="740"/>
      <c r="GU393" s="740"/>
      <c r="GV393" s="740"/>
      <c r="GW393" s="740"/>
    </row>
    <row r="394" spans="18:205" ht="24" customHeight="1" x14ac:dyDescent="0.2"/>
    <row r="395" spans="18:205" ht="24" customHeight="1" x14ac:dyDescent="0.2"/>
    <row r="396" spans="18:205" ht="24" customHeight="1" x14ac:dyDescent="0.2"/>
    <row r="397" spans="18:205" ht="24" customHeight="1" x14ac:dyDescent="0.2"/>
    <row r="398" spans="18:205" ht="24" customHeight="1" x14ac:dyDescent="0.2"/>
    <row r="399" spans="18:205" ht="24" customHeight="1" x14ac:dyDescent="0.2"/>
    <row r="400" spans="18:205" ht="24" customHeight="1" x14ac:dyDescent="0.2"/>
    <row r="401" ht="24" customHeight="1" x14ac:dyDescent="0.2"/>
    <row r="402" ht="24" customHeight="1" x14ac:dyDescent="0.2"/>
    <row r="403" ht="24" customHeight="1" x14ac:dyDescent="0.2"/>
    <row r="404" ht="24" customHeight="1" x14ac:dyDescent="0.2"/>
    <row r="405" ht="24" customHeight="1" x14ac:dyDescent="0.2"/>
    <row r="406" ht="24" customHeight="1" x14ac:dyDescent="0.2"/>
    <row r="407" ht="24" customHeight="1" x14ac:dyDescent="0.2"/>
    <row r="408" ht="24" customHeight="1" x14ac:dyDescent="0.2"/>
    <row r="409" ht="24" customHeight="1" x14ac:dyDescent="0.2"/>
    <row r="410" ht="24" customHeight="1" x14ac:dyDescent="0.2"/>
    <row r="411" ht="24" customHeight="1" x14ac:dyDescent="0.2"/>
    <row r="412" ht="24" customHeight="1" x14ac:dyDescent="0.2"/>
    <row r="413" ht="24" customHeight="1" x14ac:dyDescent="0.2"/>
    <row r="414" ht="24" customHeight="1" x14ac:dyDescent="0.2"/>
    <row r="415" ht="24" customHeight="1" x14ac:dyDescent="0.2"/>
    <row r="416" ht="24" customHeight="1" x14ac:dyDescent="0.2"/>
    <row r="417" ht="24" customHeight="1" x14ac:dyDescent="0.2"/>
    <row r="418" ht="24" customHeight="1" x14ac:dyDescent="0.2"/>
    <row r="419" ht="24" customHeight="1" x14ac:dyDescent="0.2"/>
    <row r="420" ht="24" customHeight="1" x14ac:dyDescent="0.2"/>
    <row r="421" ht="24" customHeight="1" x14ac:dyDescent="0.2"/>
    <row r="422" ht="24" customHeight="1" x14ac:dyDescent="0.2"/>
    <row r="423" ht="24" customHeight="1" x14ac:dyDescent="0.2"/>
    <row r="424" ht="24" customHeight="1" x14ac:dyDescent="0.2"/>
    <row r="425" ht="24" customHeight="1" x14ac:dyDescent="0.2"/>
    <row r="426" ht="24" customHeight="1" x14ac:dyDescent="0.2"/>
    <row r="427" ht="24" customHeight="1" x14ac:dyDescent="0.2"/>
    <row r="428" ht="24" customHeight="1" x14ac:dyDescent="0.2"/>
    <row r="429" ht="24" customHeight="1" x14ac:dyDescent="0.2"/>
    <row r="430" ht="24" customHeight="1" x14ac:dyDescent="0.2"/>
    <row r="431" ht="24" customHeight="1" x14ac:dyDescent="0.2"/>
    <row r="432" ht="24" customHeight="1" x14ac:dyDescent="0.2"/>
    <row r="433" ht="24" customHeight="1" x14ac:dyDescent="0.2"/>
    <row r="434" ht="24" customHeight="1" x14ac:dyDescent="0.2"/>
    <row r="435" ht="24" customHeight="1" x14ac:dyDescent="0.2"/>
    <row r="436" ht="24" customHeight="1" x14ac:dyDescent="0.2"/>
    <row r="437" ht="24" customHeight="1" x14ac:dyDescent="0.2"/>
    <row r="438" ht="24" customHeight="1" x14ac:dyDescent="0.2"/>
    <row r="439" ht="24" customHeight="1" x14ac:dyDescent="0.2"/>
    <row r="440" ht="24" customHeight="1" x14ac:dyDescent="0.2"/>
    <row r="441" ht="24" customHeight="1" x14ac:dyDescent="0.2"/>
    <row r="442" ht="24" customHeight="1" x14ac:dyDescent="0.2"/>
    <row r="443" ht="24" customHeight="1" x14ac:dyDescent="0.2"/>
    <row r="444" ht="24" customHeight="1" x14ac:dyDescent="0.2"/>
    <row r="445" ht="24" customHeight="1" x14ac:dyDescent="0.2"/>
    <row r="446" ht="24" customHeight="1" x14ac:dyDescent="0.2"/>
    <row r="447" ht="24" customHeight="1" x14ac:dyDescent="0.2"/>
    <row r="448" ht="24" customHeight="1" x14ac:dyDescent="0.2"/>
    <row r="449" ht="24" customHeight="1" x14ac:dyDescent="0.2"/>
    <row r="450" ht="24" customHeight="1" x14ac:dyDescent="0.2"/>
    <row r="451" ht="24" customHeight="1" x14ac:dyDescent="0.2"/>
    <row r="452" ht="24" customHeight="1" x14ac:dyDescent="0.2"/>
    <row r="453" ht="24" customHeight="1" x14ac:dyDescent="0.2"/>
    <row r="454" ht="24" customHeight="1" x14ac:dyDescent="0.2"/>
    <row r="455" ht="24" customHeight="1" x14ac:dyDescent="0.2"/>
    <row r="456" ht="24" customHeight="1" x14ac:dyDescent="0.2"/>
    <row r="457" ht="24" customHeight="1" x14ac:dyDescent="0.2"/>
    <row r="458" ht="24" customHeight="1" x14ac:dyDescent="0.2"/>
    <row r="459" ht="24" customHeight="1" x14ac:dyDescent="0.2"/>
    <row r="460" ht="24" customHeight="1" x14ac:dyDescent="0.2"/>
    <row r="461" ht="24" customHeight="1" x14ac:dyDescent="0.2"/>
    <row r="462" ht="24" customHeight="1" x14ac:dyDescent="0.2"/>
    <row r="463" ht="24" customHeight="1" x14ac:dyDescent="0.2"/>
    <row r="464" ht="24" customHeight="1" x14ac:dyDescent="0.2"/>
    <row r="465" ht="24" customHeight="1" x14ac:dyDescent="0.2"/>
    <row r="466" ht="24" customHeight="1" x14ac:dyDescent="0.2"/>
    <row r="467" ht="24" customHeight="1" x14ac:dyDescent="0.2"/>
    <row r="468" ht="24" customHeight="1" x14ac:dyDescent="0.2"/>
    <row r="469" ht="24" customHeight="1" x14ac:dyDescent="0.2"/>
    <row r="470" ht="24" customHeight="1" x14ac:dyDescent="0.2"/>
    <row r="471" ht="24" customHeight="1" x14ac:dyDescent="0.2"/>
    <row r="472" ht="24" customHeight="1" x14ac:dyDescent="0.2"/>
    <row r="473" ht="24" customHeight="1" x14ac:dyDescent="0.2"/>
    <row r="474" ht="24" customHeight="1" x14ac:dyDescent="0.2"/>
    <row r="475" ht="24" customHeight="1" x14ac:dyDescent="0.2"/>
    <row r="476" ht="24" customHeight="1" x14ac:dyDescent="0.2"/>
    <row r="477" ht="24" customHeight="1" x14ac:dyDescent="0.2"/>
    <row r="478" ht="24" customHeight="1" x14ac:dyDescent="0.2"/>
    <row r="479" ht="24" customHeight="1" x14ac:dyDescent="0.2"/>
    <row r="480" ht="24" customHeight="1" x14ac:dyDescent="0.2"/>
    <row r="481" ht="24" customHeight="1" x14ac:dyDescent="0.2"/>
    <row r="482" ht="24" customHeight="1" x14ac:dyDescent="0.2"/>
    <row r="483" ht="24" customHeight="1" x14ac:dyDescent="0.2"/>
    <row r="484" ht="24" customHeight="1" x14ac:dyDescent="0.2"/>
    <row r="485" ht="24" customHeight="1" x14ac:dyDescent="0.2"/>
    <row r="486" ht="24" customHeight="1" x14ac:dyDescent="0.2"/>
    <row r="487" ht="24" customHeight="1" x14ac:dyDescent="0.2"/>
    <row r="488" ht="24" customHeight="1" x14ac:dyDescent="0.2"/>
    <row r="489" ht="24" customHeight="1" x14ac:dyDescent="0.2"/>
    <row r="490" ht="24" customHeight="1" x14ac:dyDescent="0.2"/>
    <row r="491" ht="24" customHeight="1" x14ac:dyDescent="0.2"/>
    <row r="492" ht="24" customHeight="1" x14ac:dyDescent="0.2"/>
    <row r="493" ht="24" customHeight="1" x14ac:dyDescent="0.2"/>
    <row r="494" ht="24" customHeight="1" x14ac:dyDescent="0.2"/>
    <row r="495" ht="24" customHeight="1" x14ac:dyDescent="0.2"/>
    <row r="496" ht="24" customHeight="1" x14ac:dyDescent="0.2"/>
    <row r="497" ht="24" customHeight="1" x14ac:dyDescent="0.2"/>
    <row r="498" ht="24" customHeight="1" x14ac:dyDescent="0.2"/>
    <row r="499" ht="24" customHeight="1" x14ac:dyDescent="0.2"/>
    <row r="500" ht="24" customHeight="1" x14ac:dyDescent="0.2"/>
    <row r="501" ht="24" customHeight="1" x14ac:dyDescent="0.2"/>
    <row r="502" ht="24" customHeight="1" x14ac:dyDescent="0.2"/>
    <row r="503" ht="24" customHeight="1" x14ac:dyDescent="0.2"/>
    <row r="504" ht="24" customHeight="1" x14ac:dyDescent="0.2"/>
    <row r="505" ht="24" customHeight="1" x14ac:dyDescent="0.2"/>
    <row r="506" ht="24" customHeight="1" x14ac:dyDescent="0.2"/>
    <row r="507" ht="24" customHeight="1" x14ac:dyDescent="0.2"/>
    <row r="508" ht="24" customHeight="1" x14ac:dyDescent="0.2"/>
    <row r="509" ht="24" customHeight="1" x14ac:dyDescent="0.2"/>
    <row r="510" ht="24" customHeight="1" x14ac:dyDescent="0.2"/>
    <row r="511" ht="24" customHeight="1" x14ac:dyDescent="0.2"/>
    <row r="512" ht="24" customHeight="1" x14ac:dyDescent="0.2"/>
    <row r="513" ht="24" customHeight="1" x14ac:dyDescent="0.2"/>
    <row r="514" ht="24" customHeight="1" x14ac:dyDescent="0.2"/>
    <row r="515" ht="24" customHeight="1" x14ac:dyDescent="0.2"/>
    <row r="516" ht="24" customHeight="1" x14ac:dyDescent="0.2"/>
    <row r="517" ht="24" customHeight="1" x14ac:dyDescent="0.2"/>
    <row r="518" ht="24" customHeight="1" x14ac:dyDescent="0.2"/>
    <row r="519" ht="24" customHeight="1" x14ac:dyDescent="0.2"/>
    <row r="520" ht="24" customHeight="1" x14ac:dyDescent="0.2"/>
    <row r="521" ht="24" customHeight="1" x14ac:dyDescent="0.2"/>
    <row r="522" ht="24" customHeight="1" x14ac:dyDescent="0.2"/>
    <row r="523" ht="24" customHeight="1" x14ac:dyDescent="0.2"/>
    <row r="524" ht="24" customHeight="1" x14ac:dyDescent="0.2"/>
    <row r="525" ht="24" customHeight="1" x14ac:dyDescent="0.2"/>
    <row r="526" ht="24" customHeight="1" x14ac:dyDescent="0.2"/>
    <row r="527" ht="24" customHeight="1" x14ac:dyDescent="0.2"/>
    <row r="528" ht="24" customHeight="1" x14ac:dyDescent="0.2"/>
    <row r="529" ht="24" customHeight="1" x14ac:dyDescent="0.2"/>
    <row r="530" ht="24" customHeight="1" x14ac:dyDescent="0.2"/>
    <row r="531" ht="24" customHeight="1" x14ac:dyDescent="0.2"/>
    <row r="532" ht="24" customHeight="1" x14ac:dyDescent="0.2"/>
    <row r="533" ht="24" customHeight="1" x14ac:dyDescent="0.2"/>
    <row r="534" ht="24" customHeight="1" x14ac:dyDescent="0.2"/>
    <row r="535" ht="24" customHeight="1" x14ac:dyDescent="0.2"/>
    <row r="536" ht="24" customHeight="1" x14ac:dyDescent="0.2"/>
    <row r="537" ht="24" customHeight="1" x14ac:dyDescent="0.2"/>
    <row r="538" ht="24" customHeight="1" x14ac:dyDescent="0.2"/>
    <row r="539" ht="24" customHeight="1" x14ac:dyDescent="0.2"/>
    <row r="540" ht="24" customHeight="1" x14ac:dyDescent="0.2"/>
    <row r="541" ht="24" customHeight="1" x14ac:dyDescent="0.2"/>
    <row r="542" ht="24" customHeight="1" x14ac:dyDescent="0.2"/>
    <row r="543" ht="24" customHeight="1" x14ac:dyDescent="0.2"/>
    <row r="544" ht="24" customHeight="1" x14ac:dyDescent="0.2"/>
    <row r="545" ht="24" customHeight="1" x14ac:dyDescent="0.2"/>
    <row r="546" ht="24" customHeight="1" x14ac:dyDescent="0.2"/>
    <row r="547" ht="24" customHeight="1" x14ac:dyDescent="0.2"/>
    <row r="548" ht="24" customHeight="1" x14ac:dyDescent="0.2"/>
    <row r="549" ht="24" customHeight="1" x14ac:dyDescent="0.2"/>
    <row r="550" ht="24" customHeight="1" x14ac:dyDescent="0.2"/>
    <row r="551" ht="24" customHeight="1" x14ac:dyDescent="0.2"/>
    <row r="552" ht="24" customHeight="1" x14ac:dyDescent="0.2"/>
    <row r="553" ht="24" customHeight="1" x14ac:dyDescent="0.2"/>
    <row r="554" ht="24" customHeight="1" x14ac:dyDescent="0.2"/>
    <row r="555" ht="24" customHeight="1" x14ac:dyDescent="0.2"/>
    <row r="556" ht="24" customHeight="1" x14ac:dyDescent="0.2"/>
    <row r="557" ht="24" customHeight="1" x14ac:dyDescent="0.2"/>
    <row r="558" ht="24" customHeight="1" x14ac:dyDescent="0.2"/>
    <row r="559" ht="24" customHeight="1" x14ac:dyDescent="0.2"/>
    <row r="560" ht="24" customHeight="1" x14ac:dyDescent="0.2"/>
    <row r="561" ht="24" customHeight="1" x14ac:dyDescent="0.2"/>
    <row r="562" ht="24" customHeight="1" x14ac:dyDescent="0.2"/>
    <row r="563" ht="24" customHeight="1" x14ac:dyDescent="0.2"/>
    <row r="564" ht="24" customHeight="1" x14ac:dyDescent="0.2"/>
    <row r="565" ht="24" customHeight="1" x14ac:dyDescent="0.2"/>
    <row r="566" ht="24" customHeight="1" x14ac:dyDescent="0.2"/>
    <row r="567" ht="24" customHeight="1" x14ac:dyDescent="0.2"/>
    <row r="568" ht="24" customHeight="1" x14ac:dyDescent="0.2"/>
    <row r="569" ht="24" customHeight="1" x14ac:dyDescent="0.2"/>
    <row r="570" ht="24" customHeight="1" x14ac:dyDescent="0.2"/>
    <row r="571" ht="24" customHeight="1" x14ac:dyDescent="0.2"/>
    <row r="572" ht="24" customHeight="1" x14ac:dyDescent="0.2"/>
    <row r="573" ht="24" customHeight="1" x14ac:dyDescent="0.2"/>
    <row r="574" ht="24" customHeight="1" x14ac:dyDescent="0.2"/>
    <row r="575" ht="24" customHeight="1" x14ac:dyDescent="0.2"/>
    <row r="576" ht="24" customHeight="1" x14ac:dyDescent="0.2"/>
    <row r="577" ht="24" customHeight="1" x14ac:dyDescent="0.2"/>
    <row r="578" ht="24" customHeight="1" x14ac:dyDescent="0.2"/>
    <row r="579" ht="24" customHeight="1" x14ac:dyDescent="0.2"/>
    <row r="580" ht="24" customHeight="1" x14ac:dyDescent="0.2"/>
    <row r="581" ht="24" customHeight="1" x14ac:dyDescent="0.2"/>
    <row r="582" ht="24" customHeight="1" x14ac:dyDescent="0.2"/>
    <row r="583" ht="24" customHeight="1" x14ac:dyDescent="0.2"/>
    <row r="584" ht="24" customHeight="1" x14ac:dyDescent="0.2"/>
    <row r="585" ht="24" customHeight="1" x14ac:dyDescent="0.2"/>
    <row r="586" ht="24" customHeight="1" x14ac:dyDescent="0.2"/>
    <row r="587" ht="24" customHeight="1" x14ac:dyDescent="0.2"/>
    <row r="588" ht="24" customHeight="1" x14ac:dyDescent="0.2"/>
    <row r="589" ht="24" customHeight="1" x14ac:dyDescent="0.2"/>
    <row r="590" ht="24" customHeight="1" x14ac:dyDescent="0.2"/>
    <row r="591" ht="24" customHeight="1" x14ac:dyDescent="0.2"/>
    <row r="592" ht="24" customHeight="1" x14ac:dyDescent="0.2"/>
    <row r="593" ht="24" customHeight="1" x14ac:dyDescent="0.2"/>
    <row r="594" ht="24" customHeight="1" x14ac:dyDescent="0.2"/>
    <row r="595" ht="24" customHeight="1" x14ac:dyDescent="0.2"/>
    <row r="596" ht="24" customHeight="1" x14ac:dyDescent="0.2"/>
    <row r="597" ht="24" customHeight="1" x14ac:dyDescent="0.2"/>
    <row r="598" ht="24" customHeight="1" x14ac:dyDescent="0.2"/>
    <row r="599" ht="24" customHeight="1" x14ac:dyDescent="0.2"/>
    <row r="600" ht="24" customHeight="1" x14ac:dyDescent="0.2"/>
    <row r="601" ht="24" customHeight="1" x14ac:dyDescent="0.2"/>
    <row r="602" ht="24" customHeight="1" x14ac:dyDescent="0.2"/>
    <row r="603" ht="24" customHeight="1" x14ac:dyDescent="0.2"/>
    <row r="604" ht="24" customHeight="1" x14ac:dyDescent="0.2"/>
    <row r="605" ht="24" customHeight="1" x14ac:dyDescent="0.2"/>
    <row r="606" ht="24" customHeight="1" x14ac:dyDescent="0.2"/>
    <row r="607" ht="24" customHeight="1" x14ac:dyDescent="0.2"/>
    <row r="608" ht="24" customHeight="1" x14ac:dyDescent="0.2"/>
    <row r="609" ht="24" customHeight="1" x14ac:dyDescent="0.2"/>
    <row r="610" ht="24" customHeight="1" x14ac:dyDescent="0.2"/>
    <row r="611" ht="24" customHeight="1" x14ac:dyDescent="0.2"/>
    <row r="612" ht="24" customHeight="1" x14ac:dyDescent="0.2"/>
    <row r="613" ht="24" customHeight="1" x14ac:dyDescent="0.2"/>
    <row r="614" ht="24" customHeight="1" x14ac:dyDescent="0.2"/>
    <row r="615" ht="24" customHeight="1" x14ac:dyDescent="0.2"/>
    <row r="616" ht="24" customHeight="1" x14ac:dyDescent="0.2"/>
    <row r="617" ht="24" customHeight="1" x14ac:dyDescent="0.2"/>
    <row r="618" ht="24" customHeight="1" x14ac:dyDescent="0.2"/>
    <row r="619" ht="24" customHeight="1" x14ac:dyDescent="0.2"/>
    <row r="620" ht="24" customHeight="1" x14ac:dyDescent="0.2"/>
    <row r="621" ht="24" customHeight="1" x14ac:dyDescent="0.2"/>
    <row r="622" ht="24" customHeight="1" x14ac:dyDescent="0.2"/>
    <row r="623" ht="24" customHeight="1" x14ac:dyDescent="0.2"/>
    <row r="624" ht="24" customHeight="1" x14ac:dyDescent="0.2"/>
    <row r="625" ht="24" customHeight="1" x14ac:dyDescent="0.2"/>
    <row r="626" ht="24" customHeight="1" x14ac:dyDescent="0.2"/>
    <row r="627" ht="24" customHeight="1" x14ac:dyDescent="0.2"/>
    <row r="628" ht="24" customHeight="1" x14ac:dyDescent="0.2"/>
    <row r="629" ht="24" customHeight="1" x14ac:dyDescent="0.2"/>
    <row r="630" ht="24" customHeight="1" x14ac:dyDescent="0.2"/>
    <row r="631" ht="24" customHeight="1" x14ac:dyDescent="0.2"/>
    <row r="632" ht="24" customHeight="1" x14ac:dyDescent="0.2"/>
    <row r="633" ht="24" customHeight="1" x14ac:dyDescent="0.2"/>
    <row r="634" ht="24" customHeight="1" x14ac:dyDescent="0.2"/>
    <row r="635" ht="24" customHeight="1" x14ac:dyDescent="0.2"/>
    <row r="636" ht="24" customHeight="1" x14ac:dyDescent="0.2"/>
    <row r="637" ht="24" customHeight="1" x14ac:dyDescent="0.2"/>
    <row r="638" ht="24" customHeight="1" x14ac:dyDescent="0.2"/>
    <row r="639" ht="24" customHeight="1" x14ac:dyDescent="0.2"/>
    <row r="640" ht="24" customHeight="1" x14ac:dyDescent="0.2"/>
    <row r="641" ht="24" customHeight="1" x14ac:dyDescent="0.2"/>
    <row r="642" ht="24" customHeight="1" x14ac:dyDescent="0.2"/>
    <row r="643" ht="24" customHeight="1" x14ac:dyDescent="0.2"/>
    <row r="644" ht="24" customHeight="1" x14ac:dyDescent="0.2"/>
    <row r="645" ht="24" customHeight="1" x14ac:dyDescent="0.2"/>
    <row r="646" ht="24" customHeight="1" x14ac:dyDescent="0.2"/>
    <row r="647" ht="24" customHeight="1" x14ac:dyDescent="0.2"/>
    <row r="648" ht="24" customHeight="1" x14ac:dyDescent="0.2"/>
    <row r="649" ht="24" customHeight="1" x14ac:dyDescent="0.2"/>
    <row r="650" ht="24" customHeight="1" x14ac:dyDescent="0.2"/>
    <row r="651" ht="24" customHeight="1" x14ac:dyDescent="0.2"/>
    <row r="652" ht="24" customHeight="1" x14ac:dyDescent="0.2"/>
    <row r="653" ht="24" customHeight="1" x14ac:dyDescent="0.2"/>
    <row r="654" ht="24" customHeight="1" x14ac:dyDescent="0.2"/>
    <row r="655" ht="24" customHeight="1" x14ac:dyDescent="0.2"/>
    <row r="656" ht="24" customHeight="1" x14ac:dyDescent="0.2"/>
    <row r="657" ht="24" customHeight="1" x14ac:dyDescent="0.2"/>
    <row r="658" ht="24" customHeight="1" x14ac:dyDescent="0.2"/>
  </sheetData>
  <sheetProtection sheet="1" objects="1" scenarios="1"/>
  <mergeCells count="33">
    <mergeCell ref="P8:Q8"/>
    <mergeCell ref="K132:L132"/>
    <mergeCell ref="L8:M8"/>
    <mergeCell ref="N8:O8"/>
    <mergeCell ref="M132:N132"/>
    <mergeCell ref="O132:P132"/>
    <mergeCell ref="K129:L129"/>
    <mergeCell ref="C21:G21"/>
    <mergeCell ref="K95:P95"/>
    <mergeCell ref="J72:R72"/>
    <mergeCell ref="I116:J116"/>
    <mergeCell ref="M135:N135"/>
    <mergeCell ref="M133:N133"/>
    <mergeCell ref="O143:R143"/>
    <mergeCell ref="K143:N143"/>
    <mergeCell ref="K131:L131"/>
    <mergeCell ref="O131:P131"/>
    <mergeCell ref="M131:N131"/>
    <mergeCell ref="O133:P133"/>
    <mergeCell ref="O134:P134"/>
    <mergeCell ref="O135:P135"/>
    <mergeCell ref="M134:N134"/>
    <mergeCell ref="K135:L135"/>
    <mergeCell ref="BG26:BH26"/>
    <mergeCell ref="AQ24:BH24"/>
    <mergeCell ref="AQ25:AR25"/>
    <mergeCell ref="K142:N142"/>
    <mergeCell ref="O142:R142"/>
    <mergeCell ref="J66:R66"/>
    <mergeCell ref="M129:N129"/>
    <mergeCell ref="O129:P129"/>
    <mergeCell ref="K133:L133"/>
    <mergeCell ref="K134:L134"/>
  </mergeCells>
  <phoneticPr fontId="0" type="noConversion"/>
  <hyperlinks>
    <hyperlink ref="AF26" location="E37" display="&lt;-----zurück zur Zeile Tierarzt....."/>
    <hyperlink ref="AI177" location="D65" display="zurück"/>
    <hyperlink ref="AI151" location="D65" display="zurück"/>
    <hyperlink ref="D52" location="E97" display="i"/>
    <hyperlink ref="F115" location="'Färse(a)'!B46:B50" display="zurück zur Zeile AKh-Bedarf"/>
    <hyperlink ref="D39" location="B72" display="i"/>
    <hyperlink ref="D63" location="'Färse(a)'!B36:B47" display="zurück zur Zeile Grundfutterbedarf"/>
    <hyperlink ref="E83" location="B49" display="zurück zur Zeile Grundfutterbedarf"/>
    <hyperlink ref="E86" location="'Färse(a)'!B46:B50" display="zurück zur Zeile AKh-Bedarf"/>
    <hyperlink ref="D55" location="D136" display="D136"/>
    <hyperlink ref="D19" location="'Färse(a)'!D150:D158" display="Aufzuchtkosten bis 75 kg"/>
    <hyperlink ref="E138" location="'Färse(a)'!D17:D19" display="zurück zur Zeile Aufzuchtkosten"/>
    <hyperlink ref="E159" location="'Färse(a)'!D19" display="zurück zur Zeile Aufzuchtkosten"/>
  </hyperlinks>
  <printOptions horizontalCentered="1"/>
  <pageMargins left="0.39370078740157483" right="0.39370078740157483" top="0.31496062992125984" bottom="0.51181102362204722" header="0.19685039370078741" footer="0.19685039370078741"/>
  <pageSetup paperSize="9" scale="60" firstPageNumber="39" orientation="portrait" useFirstPageNumber="1" verticalDpi="300" r:id="rId1"/>
  <headerFooter alignWithMargins="0">
    <oddFooter>&amp;LLEL Schwäb. Gmünd;
&amp;D&amp;C&amp;"Arial,Fett"&amp;12&amp;P&amp;RKalkulationsdaten Milchviehhaltung;
&amp;F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62" r:id="rId4" name="Drop Down 50">
              <controlPr defaultSize="0" print="0" autoLine="0" autoPict="0">
                <anchor moveWithCells="1">
                  <from>
                    <xdr:col>2</xdr:col>
                    <xdr:colOff>66675</xdr:colOff>
                    <xdr:row>40</xdr:row>
                    <xdr:rowOff>19050</xdr:rowOff>
                  </from>
                  <to>
                    <xdr:col>5</xdr:col>
                    <xdr:colOff>361950</xdr:colOff>
                    <xdr:row>41</xdr:row>
                    <xdr:rowOff>9525</xdr:rowOff>
                  </to>
                </anchor>
              </controlPr>
            </control>
          </mc:Choice>
        </mc:AlternateContent>
        <mc:AlternateContent xmlns:mc="http://schemas.openxmlformats.org/markup-compatibility/2006">
          <mc:Choice Requires="x14">
            <control shapeId="13363" r:id="rId5" name="Drop Down 51">
              <controlPr defaultSize="0" print="0" autoLine="0" autoPict="0">
                <anchor moveWithCells="1">
                  <from>
                    <xdr:col>3</xdr:col>
                    <xdr:colOff>0</xdr:colOff>
                    <xdr:row>43</xdr:row>
                    <xdr:rowOff>9525</xdr:rowOff>
                  </from>
                  <to>
                    <xdr:col>5</xdr:col>
                    <xdr:colOff>390525</xdr:colOff>
                    <xdr:row>44</xdr:row>
                    <xdr:rowOff>19050</xdr:rowOff>
                  </to>
                </anchor>
              </controlPr>
            </control>
          </mc:Choice>
        </mc:AlternateContent>
        <mc:AlternateContent xmlns:mc="http://schemas.openxmlformats.org/markup-compatibility/2006">
          <mc:Choice Requires="x14">
            <control shapeId="13364" r:id="rId6" name="Drop Down 52">
              <controlPr defaultSize="0" print="0" autoLine="0" autoPict="0">
                <anchor moveWithCells="1">
                  <from>
                    <xdr:col>3</xdr:col>
                    <xdr:colOff>9525</xdr:colOff>
                    <xdr:row>46</xdr:row>
                    <xdr:rowOff>28575</xdr:rowOff>
                  </from>
                  <to>
                    <xdr:col>5</xdr:col>
                    <xdr:colOff>400050</xdr:colOff>
                    <xdr:row>47</xdr:row>
                    <xdr:rowOff>19050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3" tint="0.39997558519241921"/>
    <pageSetUpPr fitToPage="1"/>
  </sheetPr>
  <dimension ref="A1:AA68"/>
  <sheetViews>
    <sheetView showGridLines="0" showZeros="0" zoomScaleNormal="85" workbookViewId="0">
      <pane ySplit="9" topLeftCell="A34" activePane="bottomLeft" state="frozen"/>
      <selection activeCell="N4" sqref="N4"/>
      <selection pane="bottomLeft" activeCell="K44" sqref="K44"/>
    </sheetView>
  </sheetViews>
  <sheetFormatPr baseColWidth="10" defaultColWidth="11.5703125" defaultRowHeight="12.75" x14ac:dyDescent="0.2"/>
  <cols>
    <col min="1" max="1" width="1.28515625" style="4" customWidth="1"/>
    <col min="2" max="2" width="4.42578125" style="4" customWidth="1"/>
    <col min="3" max="3" width="4" style="1900" customWidth="1"/>
    <col min="4" max="4" width="1.85546875" style="3" customWidth="1"/>
    <col min="5" max="5" width="5.85546875" style="3" customWidth="1"/>
    <col min="6" max="6" width="20.7109375" style="3" customWidth="1"/>
    <col min="7" max="7" width="15.7109375" style="3" customWidth="1"/>
    <col min="8" max="8" width="16.42578125" style="1909" customWidth="1"/>
    <col min="9" max="9" width="11.28515625" style="84" customWidth="1"/>
    <col min="10" max="10" width="2.42578125" style="84" customWidth="1"/>
    <col min="11" max="13" width="13.5703125" style="3" customWidth="1"/>
    <col min="14" max="14" width="2" style="4" customWidth="1"/>
    <col min="15" max="16384" width="11.5703125" style="4"/>
  </cols>
  <sheetData>
    <row r="1" spans="1:26" ht="22.15" customHeight="1" x14ac:dyDescent="0.2">
      <c r="A1" s="2503"/>
      <c r="B1" s="2503"/>
      <c r="C1" s="2503"/>
      <c r="D1" s="2503"/>
      <c r="E1" s="2503"/>
      <c r="F1" s="2503"/>
      <c r="G1" s="2503"/>
      <c r="H1" s="2503"/>
      <c r="I1" s="2503"/>
      <c r="J1" s="2503"/>
      <c r="K1" s="2503"/>
      <c r="L1" s="2503"/>
      <c r="M1" s="2503"/>
      <c r="N1" s="2503"/>
    </row>
    <row r="2" spans="1:26" ht="27" customHeight="1" x14ac:dyDescent="0.2">
      <c r="A2" s="2503"/>
      <c r="B2" s="1929"/>
      <c r="C2" s="292" t="s">
        <v>57</v>
      </c>
      <c r="D2" s="4"/>
      <c r="E2" s="4"/>
      <c r="F2" s="4"/>
      <c r="G2"/>
      <c r="H2" s="294"/>
      <c r="I2" s="292" t="s">
        <v>1130</v>
      </c>
      <c r="J2" s="4"/>
      <c r="K2"/>
      <c r="L2" s="352"/>
      <c r="M2" s="1930" t="s">
        <v>236</v>
      </c>
      <c r="N2" s="2503"/>
      <c r="O2" s="87"/>
      <c r="S2" s="87"/>
      <c r="T2" s="87"/>
      <c r="U2" s="88"/>
      <c r="V2" s="3"/>
      <c r="W2" s="3"/>
      <c r="X2" s="89"/>
      <c r="Y2" s="89"/>
      <c r="Z2" s="89"/>
    </row>
    <row r="3" spans="1:26" ht="13.15" customHeight="1" x14ac:dyDescent="0.2">
      <c r="A3" s="2503"/>
      <c r="D3" s="4"/>
      <c r="E3" s="4"/>
      <c r="F3" s="4"/>
      <c r="G3"/>
      <c r="H3" s="294"/>
      <c r="I3" s="292"/>
      <c r="J3" s="4"/>
      <c r="K3"/>
      <c r="L3" s="4"/>
      <c r="M3" s="4"/>
      <c r="N3" s="2503"/>
      <c r="O3" s="87"/>
      <c r="S3" s="87"/>
      <c r="T3" s="87"/>
      <c r="U3" s="88"/>
      <c r="V3" s="3"/>
      <c r="W3" s="3"/>
      <c r="X3" s="89"/>
      <c r="Y3" s="89"/>
      <c r="Z3" s="89"/>
    </row>
    <row r="4" spans="1:26" ht="23.25" customHeight="1" x14ac:dyDescent="0.3">
      <c r="A4" s="2503"/>
      <c r="C4" s="1931" t="s">
        <v>879</v>
      </c>
      <c r="D4" s="297"/>
      <c r="E4" s="296"/>
      <c r="F4" s="296">
        <f>'Färse(a)'!F4</f>
        <v>44531</v>
      </c>
      <c r="G4" s="297"/>
      <c r="H4" s="1910"/>
      <c r="I4" s="298" t="s">
        <v>1009</v>
      </c>
      <c r="J4" s="297"/>
      <c r="K4" s="297"/>
      <c r="L4" s="297"/>
      <c r="M4" s="299">
        <f>'Färse(a)'!Q4</f>
        <v>2022</v>
      </c>
      <c r="N4" s="2503"/>
      <c r="O4" s="87"/>
      <c r="S4" s="87"/>
      <c r="T4" s="87"/>
      <c r="U4" s="88"/>
      <c r="V4" s="3"/>
      <c r="W4" s="3"/>
      <c r="X4" s="89"/>
      <c r="Y4" s="89"/>
      <c r="Z4" s="89"/>
    </row>
    <row r="5" spans="1:26" ht="10.5" customHeight="1" thickBot="1" x14ac:dyDescent="0.25">
      <c r="A5" s="2503"/>
      <c r="C5" s="1901"/>
      <c r="D5" s="4"/>
      <c r="E5" s="17"/>
      <c r="F5" s="17"/>
      <c r="G5" s="90"/>
      <c r="H5" s="1911"/>
      <c r="I5" s="4"/>
      <c r="J5" s="4"/>
      <c r="K5" s="86"/>
      <c r="L5" s="4"/>
      <c r="M5" s="4"/>
      <c r="N5" s="2503"/>
      <c r="O5" s="87"/>
      <c r="S5" s="87"/>
      <c r="T5" s="87"/>
      <c r="U5" s="88"/>
      <c r="V5" s="3"/>
      <c r="W5" s="3"/>
      <c r="X5" s="89"/>
      <c r="Y5" s="89"/>
      <c r="Z5" s="89"/>
    </row>
    <row r="6" spans="1:26" s="1" customFormat="1" ht="20.45" customHeight="1" x14ac:dyDescent="0.2">
      <c r="A6" s="2503"/>
      <c r="C6" s="1728">
        <v>1</v>
      </c>
      <c r="D6" s="1431" t="s">
        <v>1073</v>
      </c>
      <c r="E6" s="1431"/>
      <c r="F6" s="1431"/>
      <c r="G6" s="1431"/>
      <c r="H6" s="1912"/>
      <c r="I6" s="1432"/>
      <c r="J6" s="1433"/>
      <c r="K6" s="1451" t="s">
        <v>1074</v>
      </c>
      <c r="L6" s="1452" t="s">
        <v>1075</v>
      </c>
      <c r="M6" s="1888" t="s">
        <v>1076</v>
      </c>
      <c r="N6" s="2503"/>
      <c r="O6" s="30"/>
    </row>
    <row r="7" spans="1:26" s="1" customFormat="1" ht="20.45" customHeight="1" x14ac:dyDescent="0.2">
      <c r="A7" s="2503"/>
      <c r="C7" s="1933">
        <v>2</v>
      </c>
      <c r="D7" s="1934" t="s">
        <v>237</v>
      </c>
      <c r="E7" s="1934"/>
      <c r="F7" s="1934"/>
      <c r="G7" s="1934"/>
      <c r="H7" s="1935"/>
      <c r="I7" s="1936" t="s">
        <v>238</v>
      </c>
      <c r="J7" s="1434"/>
      <c r="K7" s="1937">
        <f>'Färse(a)'!L7</f>
        <v>30</v>
      </c>
      <c r="L7" s="1938">
        <f>'Färse(a)'!N7</f>
        <v>28</v>
      </c>
      <c r="M7" s="1939">
        <f>'Färse(a)'!P7</f>
        <v>26</v>
      </c>
      <c r="N7" s="2503"/>
      <c r="O7" s="30"/>
    </row>
    <row r="8" spans="1:26" s="1" customFormat="1" ht="20.45" customHeight="1" thickBot="1" x14ac:dyDescent="0.25">
      <c r="A8" s="2503"/>
      <c r="C8" s="1940">
        <v>3</v>
      </c>
      <c r="D8" s="1941" t="s">
        <v>133</v>
      </c>
      <c r="E8" s="1941"/>
      <c r="F8" s="1941"/>
      <c r="G8" s="1941"/>
      <c r="H8" s="1942"/>
      <c r="I8" s="1943"/>
      <c r="J8" s="1944"/>
      <c r="K8" s="1945">
        <f>'Färse(a)'!L8</f>
        <v>0.4</v>
      </c>
      <c r="L8" s="1946">
        <f>'Färse(a)'!N8</f>
        <v>0.42857142857142855</v>
      </c>
      <c r="M8" s="1947">
        <f>'Färse(a)'!P8</f>
        <v>0.46153846153846156</v>
      </c>
      <c r="N8" s="2503"/>
      <c r="O8" s="30"/>
    </row>
    <row r="9" spans="1:26" s="1" customFormat="1" ht="16.5" customHeight="1" x14ac:dyDescent="0.2">
      <c r="A9" s="2503"/>
      <c r="C9" s="1843">
        <v>4</v>
      </c>
      <c r="D9" s="1844" t="str">
        <f>IF(Stammdaten!S7=1,"Preis Hauptprodukt (ohne Mwst.)","Preis Hauptprodukt  (incl. Mwst.)")</f>
        <v>Preis Hauptprodukt  (incl. Mwst.)</v>
      </c>
      <c r="E9" s="1844"/>
      <c r="F9" s="1844"/>
      <c r="G9" s="1844"/>
      <c r="H9" s="1913"/>
      <c r="I9" s="26"/>
      <c r="J9" s="1444"/>
      <c r="K9" s="1887">
        <f>K11</f>
        <v>1971</v>
      </c>
      <c r="L9" s="883">
        <f>L11</f>
        <v>1971</v>
      </c>
      <c r="M9" s="1932">
        <f>M11</f>
        <v>1971</v>
      </c>
      <c r="N9" s="2503"/>
      <c r="O9" s="30"/>
    </row>
    <row r="10" spans="1:26" s="1" customFormat="1" ht="5.25" customHeight="1" x14ac:dyDescent="0.2">
      <c r="A10" s="2503"/>
      <c r="C10" s="1729"/>
      <c r="D10" s="13"/>
      <c r="E10" s="13"/>
      <c r="F10" s="13"/>
      <c r="G10" s="13"/>
      <c r="H10" s="1914"/>
      <c r="I10" s="91"/>
      <c r="J10" s="1436"/>
      <c r="K10" s="1453"/>
      <c r="L10" s="873"/>
      <c r="M10" s="1454"/>
      <c r="N10" s="2503"/>
      <c r="O10" s="30"/>
    </row>
    <row r="11" spans="1:26" s="30" customFormat="1" ht="16.5" customHeight="1" x14ac:dyDescent="0.2">
      <c r="A11" s="2503"/>
      <c r="B11" s="3973" t="s">
        <v>473</v>
      </c>
      <c r="C11" s="1729">
        <v>5</v>
      </c>
      <c r="D11" s="69" t="s">
        <v>59</v>
      </c>
      <c r="E11" s="2" t="s">
        <v>1078</v>
      </c>
      <c r="F11" s="2"/>
      <c r="G11" s="2" t="s">
        <v>240</v>
      </c>
      <c r="H11" s="1909"/>
      <c r="I11" s="720" t="s">
        <v>61</v>
      </c>
      <c r="J11" s="1436"/>
      <c r="K11" s="1455">
        <f>'Färse(a)'!M12</f>
        <v>1971</v>
      </c>
      <c r="L11" s="874">
        <f>'Färse(a)'!O12</f>
        <v>1971</v>
      </c>
      <c r="M11" s="1456">
        <f>'Färse(a)'!Q12</f>
        <v>1971</v>
      </c>
      <c r="N11" s="2503"/>
    </row>
    <row r="12" spans="1:26" s="1" customFormat="1" ht="15" x14ac:dyDescent="0.2">
      <c r="A12" s="2503"/>
      <c r="B12" s="3974"/>
      <c r="C12" s="1729">
        <f>C11+1</f>
        <v>6</v>
      </c>
      <c r="D12" s="10"/>
      <c r="E12" s="3"/>
      <c r="F12" s="3"/>
      <c r="G12" s="10" t="s">
        <v>1084</v>
      </c>
      <c r="H12" s="1915"/>
      <c r="I12" s="92"/>
      <c r="J12" s="1437"/>
      <c r="K12" s="1455">
        <f>'Färse(a)'!M14</f>
        <v>379.06656666666663</v>
      </c>
      <c r="L12" s="874">
        <f>'Färse(a)'!O14</f>
        <v>349.9076</v>
      </c>
      <c r="M12" s="1456">
        <f>'Färse(a)'!Q14</f>
        <v>320.74863333333332</v>
      </c>
      <c r="N12" s="2503"/>
      <c r="O12" s="30"/>
    </row>
    <row r="13" spans="1:26" ht="30.2" customHeight="1" x14ac:dyDescent="0.2">
      <c r="A13" s="2503"/>
      <c r="B13" s="3974"/>
      <c r="C13" s="1729">
        <v>7</v>
      </c>
      <c r="D13" s="13" t="s">
        <v>103</v>
      </c>
      <c r="E13" s="13"/>
      <c r="F13" s="13"/>
      <c r="G13" s="13"/>
      <c r="H13" s="1914"/>
      <c r="I13" s="91"/>
      <c r="J13" s="1436"/>
      <c r="K13" s="1458">
        <f>SUM(K11:K12)</f>
        <v>2350.0665666666664</v>
      </c>
      <c r="L13" s="875">
        <f>SUM(L11:L12)</f>
        <v>2320.9076</v>
      </c>
      <c r="M13" s="1464">
        <f>SUM(M11:M12)</f>
        <v>2291.7486333333331</v>
      </c>
      <c r="N13" s="2503"/>
    </row>
    <row r="14" spans="1:26" ht="1.5" customHeight="1" x14ac:dyDescent="0.2">
      <c r="A14" s="2503"/>
      <c r="C14" s="1729"/>
      <c r="D14" s="13"/>
      <c r="E14" s="13"/>
      <c r="F14" s="13"/>
      <c r="G14" s="13"/>
      <c r="H14" s="1914"/>
      <c r="I14" s="91"/>
      <c r="J14" s="1436"/>
      <c r="K14" s="1459"/>
      <c r="L14" s="873"/>
      <c r="M14" s="1460"/>
      <c r="N14" s="2503"/>
    </row>
    <row r="15" spans="1:26" ht="0.75" customHeight="1" x14ac:dyDescent="0.2">
      <c r="A15" s="2503"/>
      <c r="C15" s="1730"/>
      <c r="D15" s="18"/>
      <c r="E15" s="259"/>
      <c r="F15" s="9"/>
      <c r="G15" s="9"/>
      <c r="H15" s="1916"/>
      <c r="I15" s="259"/>
      <c r="J15" s="1434"/>
      <c r="K15" s="1461"/>
      <c r="L15" s="877"/>
      <c r="M15" s="1462"/>
      <c r="N15" s="2503"/>
    </row>
    <row r="16" spans="1:26" ht="20.100000000000001" customHeight="1" x14ac:dyDescent="0.2">
      <c r="A16" s="2503"/>
      <c r="B16" s="3973" t="s">
        <v>474</v>
      </c>
      <c r="C16" s="1731">
        <v>8</v>
      </c>
      <c r="E16" s="11" t="s">
        <v>795</v>
      </c>
      <c r="F16" s="11"/>
      <c r="G16" s="11"/>
      <c r="H16" s="1752"/>
      <c r="I16" s="720" t="s">
        <v>61</v>
      </c>
      <c r="J16" s="1436"/>
      <c r="K16" s="1455">
        <f>'Färse(a)'!M18+'Färse(a)'!M19</f>
        <v>484.1417602974185</v>
      </c>
      <c r="L16" s="874">
        <f>'Färse(a)'!O18+'Färse(a)'!O19</f>
        <v>484.1417602974185</v>
      </c>
      <c r="M16" s="1456">
        <f>'Färse(a)'!Q18+'Färse(a)'!Q19</f>
        <v>484.1417602974185</v>
      </c>
      <c r="N16" s="2503"/>
    </row>
    <row r="17" spans="1:27" ht="16.5" customHeight="1" x14ac:dyDescent="0.2">
      <c r="A17" s="2503"/>
      <c r="B17" s="4030"/>
      <c r="C17" s="1732">
        <f t="shared" ref="C17:C22" si="0">C16+1</f>
        <v>9</v>
      </c>
      <c r="E17" s="11" t="s">
        <v>64</v>
      </c>
      <c r="F17" s="11"/>
      <c r="G17" s="10"/>
      <c r="H17" s="1915"/>
      <c r="I17" s="93"/>
      <c r="J17" s="1439"/>
      <c r="K17" s="1455">
        <f>'Färse(a)'!M20</f>
        <v>146.08000000000001</v>
      </c>
      <c r="L17" s="874">
        <f>'Färse(a)'!O20</f>
        <v>201.73250000000002</v>
      </c>
      <c r="M17" s="1456">
        <f>'Färse(a)'!Q20</f>
        <v>257.38499999999999</v>
      </c>
      <c r="N17" s="2503"/>
    </row>
    <row r="18" spans="1:27" ht="16.5" customHeight="1" x14ac:dyDescent="0.2">
      <c r="A18" s="2503"/>
      <c r="B18" s="4030"/>
      <c r="C18" s="1732">
        <f t="shared" si="0"/>
        <v>10</v>
      </c>
      <c r="E18" s="11" t="s">
        <v>65</v>
      </c>
      <c r="F18" s="11"/>
      <c r="G18" s="11"/>
      <c r="H18" s="1752"/>
      <c r="I18" s="94"/>
      <c r="J18" s="1440"/>
      <c r="K18" s="1455">
        <f>'Färse(a)'!L26+'Färse(a)'!L26*Stammdaten!$P$11</f>
        <v>52.64</v>
      </c>
      <c r="L18" s="874">
        <f>'Färse(a)'!N26+'Färse(a)'!N26*Stammdaten!$P$11</f>
        <v>52.64</v>
      </c>
      <c r="M18" s="1456">
        <f>'Färse(a)'!P26+'Färse(a)'!P26*Stammdaten!$P$11</f>
        <v>33.6</v>
      </c>
      <c r="N18" s="2503"/>
    </row>
    <row r="19" spans="1:27" ht="16.5" customHeight="1" x14ac:dyDescent="0.2">
      <c r="A19" s="2503"/>
      <c r="B19" s="4030"/>
      <c r="C19" s="1732">
        <f t="shared" si="0"/>
        <v>11</v>
      </c>
      <c r="E19" s="11" t="s">
        <v>1088</v>
      </c>
      <c r="F19" s="11"/>
      <c r="G19" s="11"/>
      <c r="H19" s="1752"/>
      <c r="I19" s="94"/>
      <c r="J19" s="1440"/>
      <c r="K19" s="1455">
        <f>'Färse(a)'!L27+'Färse(a)'!L27*Stammdaten!$P$11</f>
        <v>17.920000000000002</v>
      </c>
      <c r="L19" s="874">
        <f>'Färse(a)'!N27+'Färse(a)'!N27*Stammdaten!$P$11</f>
        <v>28.632345346988238</v>
      </c>
      <c r="M19" s="1456">
        <f>'Färse(a)'!P27+'Färse(a)'!P27*Stammdaten!$P$11</f>
        <v>28.632345346988238</v>
      </c>
      <c r="N19" s="2503"/>
    </row>
    <row r="20" spans="1:27" ht="16.5" customHeight="1" x14ac:dyDescent="0.2">
      <c r="A20" s="2503"/>
      <c r="B20" s="4030"/>
      <c r="C20" s="1732">
        <f t="shared" si="0"/>
        <v>12</v>
      </c>
      <c r="E20" s="11" t="s">
        <v>66</v>
      </c>
      <c r="F20" s="11"/>
      <c r="G20" s="11"/>
      <c r="H20" s="1752"/>
      <c r="I20" s="94"/>
      <c r="J20" s="1440"/>
      <c r="K20" s="1455">
        <f>('Färse(a)'!L32+'Färse(a)'!L33)+('Färse(a)'!L32+'Färse(a)'!L33)*Stammdaten!$P$11</f>
        <v>149.28</v>
      </c>
      <c r="L20" s="874">
        <f>('Färse(a)'!N32+'Färse(a)'!N33)+('Färse(a)'!N32+'Färse(a)'!N33)*Stammdaten!$P$11</f>
        <v>154.25999999999996</v>
      </c>
      <c r="M20" s="1456">
        <f>('Färse(a)'!P32+'Färse(a)'!P33)+('Färse(a)'!P32+'Färse(a)'!P33)*Stammdaten!$P$11</f>
        <v>159.27999999999997</v>
      </c>
      <c r="N20" s="2503"/>
    </row>
    <row r="21" spans="1:27" ht="16.5" customHeight="1" x14ac:dyDescent="0.2">
      <c r="A21" s="2503"/>
      <c r="B21" s="4030"/>
      <c r="C21" s="1732">
        <f t="shared" si="0"/>
        <v>13</v>
      </c>
      <c r="E21" s="11" t="s">
        <v>67</v>
      </c>
      <c r="F21" s="11"/>
      <c r="I21" s="94"/>
      <c r="J21" s="1440"/>
      <c r="K21" s="1455">
        <f>('Färse(a)'!L28+'Färse(a)'!L29+'Färse(a)'!L30+'Färse(a)'!L31+'Färse(a)'!L34)*Stammdaten!$S$11</f>
        <v>165.76034773333333</v>
      </c>
      <c r="L21" s="874">
        <f>('Färse(a)'!N28+'Färse(a)'!N29+'Färse(a)'!N30+'Färse(a)'!N31+'Färse(a)'!N34)*Stammdaten!$S$11</f>
        <v>156.83374426666668</v>
      </c>
      <c r="M21" s="1456">
        <f>('Färse(a)'!P28+'Färse(a)'!P29+'Färse(a)'!P30+'Färse(a)'!P31+'Färse(a)'!P34)*Stammdaten!$S$11</f>
        <v>149.85447413333333</v>
      </c>
      <c r="N21" s="2503"/>
    </row>
    <row r="22" spans="1:27" ht="20.45" customHeight="1" x14ac:dyDescent="0.2">
      <c r="A22" s="2503"/>
      <c r="B22" s="4030"/>
      <c r="C22" s="1732">
        <f t="shared" si="0"/>
        <v>14</v>
      </c>
      <c r="D22" s="5" t="s">
        <v>105</v>
      </c>
      <c r="E22" s="5"/>
      <c r="F22" s="5"/>
      <c r="G22" s="5"/>
      <c r="H22" s="1885"/>
      <c r="I22" s="91"/>
      <c r="J22" s="1436"/>
      <c r="K22" s="1463">
        <f>SUM(K16:K21)</f>
        <v>1015.8221080307518</v>
      </c>
      <c r="L22" s="878">
        <f>SUM(L16:L21)</f>
        <v>1078.2403499110733</v>
      </c>
      <c r="M22" s="1896">
        <f>SUM(M16:M21)</f>
        <v>1112.8935797777401</v>
      </c>
      <c r="N22" s="2503"/>
    </row>
    <row r="23" spans="1:27" ht="6" customHeight="1" x14ac:dyDescent="0.2">
      <c r="A23" s="2503"/>
      <c r="B23" s="2088"/>
      <c r="C23" s="1732"/>
      <c r="D23" s="5"/>
      <c r="E23" s="5"/>
      <c r="F23" s="5"/>
      <c r="G23" s="5"/>
      <c r="H23" s="1885"/>
      <c r="I23" s="91"/>
      <c r="J23" s="1436"/>
      <c r="K23" s="1463"/>
      <c r="L23" s="878"/>
      <c r="M23" s="1896"/>
      <c r="N23" s="2503"/>
    </row>
    <row r="24" spans="1:27" ht="20.45" customHeight="1" x14ac:dyDescent="0.2">
      <c r="A24" s="2503"/>
      <c r="B24" s="3966" t="s">
        <v>588</v>
      </c>
      <c r="C24" s="2101">
        <v>15</v>
      </c>
      <c r="D24" s="2102" t="s">
        <v>1104</v>
      </c>
      <c r="E24" s="2102"/>
      <c r="F24" s="2102"/>
      <c r="G24" s="2102"/>
      <c r="H24" s="2103"/>
      <c r="I24" s="2104" t="s">
        <v>61</v>
      </c>
      <c r="J24" s="2105"/>
      <c r="K24" s="2827">
        <f>K13-K22</f>
        <v>1334.2444586359147</v>
      </c>
      <c r="L24" s="2107">
        <f>L13-L22</f>
        <v>1242.6672500889267</v>
      </c>
      <c r="M24" s="2828">
        <f>M13-M22</f>
        <v>1178.855053555593</v>
      </c>
      <c r="N24" s="2503"/>
    </row>
    <row r="25" spans="1:27" ht="20.45" customHeight="1" x14ac:dyDescent="0.2">
      <c r="A25" s="2503"/>
      <c r="B25" s="3967"/>
      <c r="C25" s="1732">
        <v>16</v>
      </c>
      <c r="E25" s="11" t="s">
        <v>796</v>
      </c>
      <c r="F25" s="11"/>
      <c r="G25" s="11"/>
      <c r="H25" s="1752"/>
      <c r="I25" s="95"/>
      <c r="J25" s="1441"/>
      <c r="K25" s="1455">
        <f>'Färse(a)'!M35</f>
        <v>21.817807824000003</v>
      </c>
      <c r="L25" s="874">
        <f>'Färse(a)'!O35</f>
        <v>21.674070381886754</v>
      </c>
      <c r="M25" s="1456">
        <f>'Färse(a)'!Q35</f>
        <v>20.801660479866268</v>
      </c>
      <c r="N25" s="2503"/>
    </row>
    <row r="26" spans="1:27" ht="20.45" customHeight="1" thickBot="1" x14ac:dyDescent="0.25">
      <c r="A26" s="2503"/>
      <c r="B26" s="3967"/>
      <c r="C26" s="2101">
        <v>17</v>
      </c>
      <c r="D26" s="2102" t="s">
        <v>1105</v>
      </c>
      <c r="E26" s="2102"/>
      <c r="F26" s="2102"/>
      <c r="G26" s="2102"/>
      <c r="H26" s="2103"/>
      <c r="I26" s="2104" t="s">
        <v>61</v>
      </c>
      <c r="J26" s="2105"/>
      <c r="K26" s="2106">
        <f>K24-K25</f>
        <v>1312.4266508119147</v>
      </c>
      <c r="L26" s="2107">
        <f>L24-L25</f>
        <v>1220.9931797070399</v>
      </c>
      <c r="M26" s="2828">
        <f>M24-M25</f>
        <v>1158.0533930757267</v>
      </c>
      <c r="N26" s="2503"/>
    </row>
    <row r="27" spans="1:27" ht="20.45" customHeight="1" x14ac:dyDescent="0.2">
      <c r="A27" s="2503"/>
      <c r="B27" s="3967"/>
      <c r="C27" s="1733">
        <v>18</v>
      </c>
      <c r="D27" s="20"/>
      <c r="E27" s="27" t="s">
        <v>628</v>
      </c>
      <c r="F27" s="27"/>
      <c r="G27" s="12"/>
      <c r="H27" s="1918"/>
      <c r="I27" s="26"/>
      <c r="J27" s="1444"/>
      <c r="K27" s="1465">
        <f>'Färse(a)'!M37</f>
        <v>1307.9680000000001</v>
      </c>
      <c r="L27" s="879">
        <f>'Färse(a)'!O37</f>
        <v>1092.0419999999999</v>
      </c>
      <c r="M27" s="1897">
        <f>'Färse(a)'!Q37</f>
        <v>960.43200000000002</v>
      </c>
      <c r="N27" s="2503"/>
      <c r="V27" s="3954" t="s">
        <v>1074</v>
      </c>
      <c r="W27" s="3955"/>
      <c r="X27" s="3958" t="s">
        <v>1075</v>
      </c>
      <c r="Y27" s="3959"/>
      <c r="Z27" s="3960" t="s">
        <v>1076</v>
      </c>
      <c r="AA27" s="3955"/>
    </row>
    <row r="28" spans="1:27" ht="16.5" customHeight="1" x14ac:dyDescent="0.2">
      <c r="A28" s="2503"/>
      <c r="B28" s="3967"/>
      <c r="C28" s="1734">
        <v>19</v>
      </c>
      <c r="D28" s="890" t="s">
        <v>1106</v>
      </c>
      <c r="E28" s="890"/>
      <c r="F28" s="890"/>
      <c r="G28" s="890"/>
      <c r="H28" s="1919"/>
      <c r="I28" s="891" t="s">
        <v>61</v>
      </c>
      <c r="J28" s="1446"/>
      <c r="K28" s="1467">
        <f>K26-K27</f>
        <v>4.4586508119145947</v>
      </c>
      <c r="L28" s="876">
        <f>L26-L27</f>
        <v>128.95117970703996</v>
      </c>
      <c r="M28" s="1468">
        <f>M26-M27</f>
        <v>197.6213930757267</v>
      </c>
      <c r="N28" s="2503"/>
    </row>
    <row r="29" spans="1:27" ht="3.2" customHeight="1" x14ac:dyDescent="0.2">
      <c r="A29" s="2503"/>
      <c r="C29" s="1734"/>
      <c r="D29" s="885"/>
      <c r="E29" s="886"/>
      <c r="F29" s="886"/>
      <c r="G29" s="887"/>
      <c r="H29" s="1919"/>
      <c r="I29" s="888"/>
      <c r="J29" s="1445"/>
      <c r="K29" s="1466"/>
      <c r="L29" s="874"/>
      <c r="M29" s="1898"/>
      <c r="N29" s="2503"/>
    </row>
    <row r="30" spans="1:27" ht="20.45" customHeight="1" x14ac:dyDescent="0.2">
      <c r="A30" s="2503"/>
      <c r="C30" s="1903">
        <v>20</v>
      </c>
      <c r="D30" s="1889"/>
      <c r="E30" s="1889"/>
      <c r="F30" s="1889"/>
      <c r="G30" s="1889"/>
      <c r="H30" s="1920"/>
      <c r="I30" s="1890" t="s">
        <v>399</v>
      </c>
      <c r="J30" s="1498"/>
      <c r="K30" s="1501">
        <f>K28*'Färse(a)'!L8</f>
        <v>1.783460324765838</v>
      </c>
      <c r="L30" s="883">
        <f>L28*'Färse(a)'!N8</f>
        <v>55.26479130301712</v>
      </c>
      <c r="M30" s="1502">
        <f>M28*'Färse(a)'!P8</f>
        <v>91.209873727258483</v>
      </c>
      <c r="N30" s="2503"/>
      <c r="Q30" s="435"/>
      <c r="R30" s="435"/>
      <c r="S30" s="435"/>
      <c r="T30" s="2674" t="s">
        <v>620</v>
      </c>
      <c r="U30" s="2674" t="s">
        <v>1079</v>
      </c>
      <c r="W30" s="2523">
        <f>'Färse(a)'!M53</f>
        <v>185.88241000325405</v>
      </c>
      <c r="Y30" s="2523">
        <f>'Färse(a)'!O53</f>
        <v>144.29614170022398</v>
      </c>
      <c r="AA30" s="2523">
        <f>'Färse(a)'!Q53</f>
        <v>117.11466663129099</v>
      </c>
    </row>
    <row r="31" spans="1:27" ht="5.45" customHeight="1" x14ac:dyDescent="0.2">
      <c r="A31" s="2503"/>
      <c r="C31" s="1902"/>
      <c r="D31"/>
      <c r="E31"/>
      <c r="F31"/>
      <c r="G31"/>
      <c r="H31" s="294"/>
      <c r="I31"/>
      <c r="J31"/>
      <c r="K31"/>
      <c r="L31"/>
      <c r="M31" s="611"/>
      <c r="N31" s="2503"/>
      <c r="Q31" s="435"/>
      <c r="R31" s="435"/>
      <c r="S31" s="435"/>
      <c r="T31" s="2674"/>
      <c r="U31" s="2674"/>
      <c r="W31" s="2523"/>
      <c r="Y31" s="2523"/>
      <c r="AA31" s="2523"/>
    </row>
    <row r="32" spans="1:27" ht="29.25" customHeight="1" x14ac:dyDescent="0.2">
      <c r="A32" s="2503"/>
      <c r="B32" s="3966" t="s">
        <v>92</v>
      </c>
      <c r="C32" s="1862">
        <v>21</v>
      </c>
      <c r="D32" s="83" t="s">
        <v>476</v>
      </c>
      <c r="E32" s="83"/>
      <c r="F32" s="83"/>
      <c r="G32" s="83"/>
      <c r="H32" s="1921"/>
      <c r="I32" s="721" t="s">
        <v>77</v>
      </c>
      <c r="J32" s="1435"/>
      <c r="K32" s="1469">
        <f>'Färse(a)'!L52</f>
        <v>24.173000000000002</v>
      </c>
      <c r="L32" s="880">
        <f>'Färse(a)'!N52</f>
        <v>23.47293333333333</v>
      </c>
      <c r="M32" s="1470">
        <f>'Färse(a)'!P52</f>
        <v>22.671466666666667</v>
      </c>
      <c r="N32" s="2503"/>
      <c r="Q32" s="435"/>
      <c r="R32" s="435"/>
      <c r="S32" s="435"/>
      <c r="T32" s="2674" t="s">
        <v>621</v>
      </c>
      <c r="U32" s="2674" t="s">
        <v>619</v>
      </c>
      <c r="V32" s="2523">
        <f>'Färse(a)'!L52</f>
        <v>24.173000000000002</v>
      </c>
      <c r="W32" s="2523">
        <f>V32*Stammdaten!$P$39</f>
        <v>423.02750000000003</v>
      </c>
      <c r="X32" s="2523">
        <f>'Färse(a)'!N52</f>
        <v>23.47293333333333</v>
      </c>
      <c r="Y32" s="2523">
        <f>X32*Stammdaten!$P$39</f>
        <v>410.7763333333333</v>
      </c>
      <c r="Z32" s="2523">
        <f>'Färse(a)'!P52</f>
        <v>22.671466666666667</v>
      </c>
      <c r="AA32" s="2523">
        <f>Z32*Stammdaten!$P$39</f>
        <v>396.75066666666669</v>
      </c>
    </row>
    <row r="33" spans="1:27" ht="3.75" customHeight="1" x14ac:dyDescent="0.2">
      <c r="A33" s="2503"/>
      <c r="B33" s="3967"/>
      <c r="C33" s="1731"/>
      <c r="D33" s="5"/>
      <c r="E33" s="5"/>
      <c r="F33" s="5"/>
      <c r="G33" s="5"/>
      <c r="H33" s="1885"/>
      <c r="I33" s="91"/>
      <c r="J33" s="1436"/>
      <c r="K33" s="1471"/>
      <c r="L33" s="881"/>
      <c r="M33" s="1472"/>
      <c r="N33" s="2503"/>
      <c r="Q33" s="435"/>
      <c r="R33" s="435"/>
      <c r="S33" s="435"/>
      <c r="T33" s="2674"/>
      <c r="U33" s="2674"/>
      <c r="V33" s="2523"/>
      <c r="W33" s="2523"/>
      <c r="X33" s="2523"/>
      <c r="Y33" s="2523"/>
      <c r="Z33" s="2523"/>
      <c r="AA33" s="2523"/>
    </row>
    <row r="34" spans="1:27" ht="16.5" customHeight="1" x14ac:dyDescent="0.2">
      <c r="A34" s="2503"/>
      <c r="B34" s="3967"/>
      <c r="C34" s="1731">
        <v>22</v>
      </c>
      <c r="E34" s="11" t="s">
        <v>78</v>
      </c>
      <c r="F34" s="11"/>
      <c r="I34" s="720" t="s">
        <v>61</v>
      </c>
      <c r="J34" s="1440"/>
      <c r="K34" s="1455">
        <f>'Färse(a)'!M50</f>
        <v>423.02750000000003</v>
      </c>
      <c r="L34" s="874">
        <f>'Färse(a)'!O50</f>
        <v>410.7763333333333</v>
      </c>
      <c r="M34" s="1456">
        <f>'Färse(a)'!Q50</f>
        <v>396.75066666666669</v>
      </c>
      <c r="N34" s="2503"/>
      <c r="Q34" s="435"/>
      <c r="R34" s="435"/>
      <c r="S34" s="435"/>
      <c r="T34" s="2674" t="s">
        <v>622</v>
      </c>
      <c r="U34" s="2674" t="s">
        <v>619</v>
      </c>
      <c r="V34" s="2523">
        <f>'Färse(a)'!L53</f>
        <v>10.621852000185946</v>
      </c>
      <c r="W34" s="2523">
        <f>V34*Stammdaten!$P$39</f>
        <v>185.88241000325405</v>
      </c>
      <c r="X34" s="2523">
        <f>'Färse(a)'!N53</f>
        <v>8.2454938114413707</v>
      </c>
      <c r="Y34" s="2523">
        <f>X34*Stammdaten!$P$39</f>
        <v>144.29614170022398</v>
      </c>
      <c r="Z34" s="2523">
        <f>'Färse(a)'!P53</f>
        <v>6.6922666646451994</v>
      </c>
      <c r="AA34" s="2523">
        <f>Z34*Stammdaten!$P$39</f>
        <v>117.11466663129099</v>
      </c>
    </row>
    <row r="35" spans="1:27" ht="16.5" customHeight="1" x14ac:dyDescent="0.2">
      <c r="A35" s="2503"/>
      <c r="B35" s="3967"/>
      <c r="C35" s="1731">
        <f>C34+1</f>
        <v>23</v>
      </c>
      <c r="E35" s="11" t="s">
        <v>79</v>
      </c>
      <c r="F35" s="11"/>
      <c r="G35" s="11"/>
      <c r="H35" s="1752"/>
      <c r="I35" s="28"/>
      <c r="J35" s="1440"/>
      <c r="K35" s="1455">
        <f>'Färse(a)'!M54/'Färse(a)'!$L$8</f>
        <v>403.63312499999995</v>
      </c>
      <c r="L35" s="874">
        <f>'Färse(a)'!O54/'Färse(a)'!$N$8</f>
        <v>376.72425000000004</v>
      </c>
      <c r="M35" s="1456">
        <f>'Färse(a)'!Q54/'Färse(a)'!$P$8</f>
        <v>349.81537499999996</v>
      </c>
      <c r="N35" s="2503"/>
      <c r="Q35" s="435"/>
      <c r="R35" s="435"/>
      <c r="S35" s="435"/>
      <c r="T35" s="2674" t="s">
        <v>623</v>
      </c>
      <c r="U35" s="2674" t="s">
        <v>619</v>
      </c>
      <c r="V35" s="2523">
        <f t="shared" ref="V35:AA35" si="1">V32+V34</f>
        <v>34.794852000185948</v>
      </c>
      <c r="W35" s="2523">
        <f t="shared" si="1"/>
        <v>608.90991000325403</v>
      </c>
      <c r="X35" s="2523">
        <f t="shared" si="1"/>
        <v>31.718427144774701</v>
      </c>
      <c r="Y35" s="2523">
        <f t="shared" si="1"/>
        <v>555.07247503355734</v>
      </c>
      <c r="Z35" s="2523">
        <f t="shared" si="1"/>
        <v>29.363733331311867</v>
      </c>
      <c r="AA35" s="2523">
        <f t="shared" si="1"/>
        <v>513.8653332979577</v>
      </c>
    </row>
    <row r="36" spans="1:27" ht="16.5" customHeight="1" x14ac:dyDescent="0.2">
      <c r="A36" s="2503"/>
      <c r="B36" s="3967"/>
      <c r="C36" s="1731">
        <f>C35+1</f>
        <v>24</v>
      </c>
      <c r="E36" s="2" t="s">
        <v>80</v>
      </c>
      <c r="F36" s="2"/>
      <c r="G36" s="11"/>
      <c r="H36" s="1752"/>
      <c r="I36" s="94"/>
      <c r="J36" s="1440"/>
      <c r="K36" s="1455">
        <f>'Färse(a)'!M56/'Färse(a)'!$L$8</f>
        <v>57.429895833333333</v>
      </c>
      <c r="L36" s="874">
        <f>'Färse(a)'!O56/'Färse(a)'!$N$8</f>
        <v>53.601236111111113</v>
      </c>
      <c r="M36" s="1456">
        <f>'Färse(a)'!Q56/'Färse(a)'!$P$8</f>
        <v>49.772576388888886</v>
      </c>
      <c r="N36" s="2503"/>
    </row>
    <row r="37" spans="1:27" ht="16.5" customHeight="1" x14ac:dyDescent="0.2">
      <c r="A37" s="2503"/>
      <c r="B37" s="3967"/>
      <c r="C37" s="1731">
        <f>C36+1</f>
        <v>25</v>
      </c>
      <c r="E37" s="2" t="s">
        <v>81</v>
      </c>
      <c r="F37" s="2"/>
      <c r="G37" s="11"/>
      <c r="H37" s="1752"/>
      <c r="I37" s="94"/>
      <c r="J37" s="1440"/>
      <c r="K37" s="1455">
        <f>'Färse(a)'!M57/'Färse(a)'!$L$8</f>
        <v>111.13856249999999</v>
      </c>
      <c r="L37" s="874">
        <f>'Färse(a)'!O57/'Färse(a)'!$N$8</f>
        <v>103.729325</v>
      </c>
      <c r="M37" s="1456">
        <f>'Färse(a)'!Q57/'Färse(a)'!$P$8</f>
        <v>96.320087499999985</v>
      </c>
      <c r="N37" s="2503"/>
    </row>
    <row r="38" spans="1:27" ht="16.5" customHeight="1" x14ac:dyDescent="0.2">
      <c r="A38" s="2503"/>
      <c r="B38" s="3967"/>
      <c r="C38" s="1731">
        <f>C37+1</f>
        <v>26</v>
      </c>
      <c r="E38" s="11" t="s">
        <v>895</v>
      </c>
      <c r="F38" s="11"/>
      <c r="G38" s="11"/>
      <c r="H38" s="1752"/>
      <c r="I38" s="94"/>
      <c r="J38" s="1440"/>
      <c r="K38" s="1455">
        <f>Stammdaten!$P$63/'Färse(a)'!L8</f>
        <v>140</v>
      </c>
      <c r="L38" s="874">
        <f>Stammdaten!$P$63/'Färse(a)'!N8</f>
        <v>130.66666666666669</v>
      </c>
      <c r="M38" s="1456">
        <f>Stammdaten!$P$63/'Färse(a)'!P8</f>
        <v>121.33333333333334</v>
      </c>
      <c r="N38" s="2503"/>
    </row>
    <row r="39" spans="1:27" ht="20.45" customHeight="1" x14ac:dyDescent="0.2">
      <c r="A39" s="2503"/>
      <c r="B39" s="3968"/>
      <c r="C39" s="1733">
        <v>27</v>
      </c>
      <c r="D39" s="5" t="s">
        <v>138</v>
      </c>
      <c r="E39" s="5"/>
      <c r="F39" s="5"/>
      <c r="G39" s="5"/>
      <c r="H39" s="1885"/>
      <c r="I39" s="94"/>
      <c r="J39" s="1440"/>
      <c r="K39" s="1458">
        <f>SUM(K34:K38)</f>
        <v>1135.2290833333334</v>
      </c>
      <c r="L39" s="876">
        <f>SUM(L34:L38)</f>
        <v>1075.4978111111111</v>
      </c>
      <c r="M39" s="1464">
        <f>SUM(M34:M38)</f>
        <v>1013.9920388888889</v>
      </c>
      <c r="N39" s="2503"/>
    </row>
    <row r="40" spans="1:27" ht="3.2" customHeight="1" x14ac:dyDescent="0.2">
      <c r="A40" s="2503"/>
      <c r="C40" s="1753"/>
      <c r="D40" s="894"/>
      <c r="E40" s="894"/>
      <c r="F40" s="894"/>
      <c r="G40" s="894"/>
      <c r="H40" s="1922"/>
      <c r="I40" s="895"/>
      <c r="J40" s="1497"/>
      <c r="K40" s="1499"/>
      <c r="L40" s="882"/>
      <c r="M40" s="1500"/>
      <c r="N40" s="2503"/>
      <c r="V40" s="2965">
        <f>K29</f>
        <v>0</v>
      </c>
      <c r="W40" s="2965">
        <f>L29</f>
        <v>0</v>
      </c>
      <c r="X40" s="2965">
        <f>M29</f>
        <v>0</v>
      </c>
    </row>
    <row r="41" spans="1:27" ht="39.6" customHeight="1" x14ac:dyDescent="0.2">
      <c r="A41" s="2503"/>
      <c r="C41" s="1903">
        <v>28</v>
      </c>
      <c r="D41" s="896" t="s">
        <v>84</v>
      </c>
      <c r="E41" s="896"/>
      <c r="F41" s="896"/>
      <c r="G41" s="896"/>
      <c r="H41" s="1920" t="s">
        <v>231</v>
      </c>
      <c r="I41" s="897" t="s">
        <v>61</v>
      </c>
      <c r="J41" s="1498"/>
      <c r="K41" s="1501">
        <f>K28-K39</f>
        <v>-1130.7704325214188</v>
      </c>
      <c r="L41" s="883">
        <f>L28-L39</f>
        <v>-946.54663140407115</v>
      </c>
      <c r="M41" s="1502">
        <f>M28-M39</f>
        <v>-816.37064581316224</v>
      </c>
      <c r="N41" s="2503"/>
    </row>
    <row r="42" spans="1:27" ht="7.15" customHeight="1" x14ac:dyDescent="0.2">
      <c r="A42" s="2503"/>
      <c r="C42" s="1902"/>
      <c r="D42"/>
      <c r="E42"/>
      <c r="F42"/>
      <c r="G42"/>
      <c r="H42" s="294"/>
      <c r="I42"/>
      <c r="J42"/>
      <c r="K42"/>
      <c r="L42"/>
      <c r="M42" s="611"/>
      <c r="N42" s="2503"/>
    </row>
    <row r="43" spans="1:27" ht="16.5" customHeight="1" x14ac:dyDescent="0.2">
      <c r="A43" s="2503"/>
      <c r="B43" s="3966" t="s">
        <v>89</v>
      </c>
      <c r="C43" s="1730">
        <v>29</v>
      </c>
      <c r="D43" s="1738" t="s">
        <v>862</v>
      </c>
      <c r="E43" s="1738"/>
      <c r="F43" s="1738"/>
      <c r="G43" s="1738"/>
      <c r="H43" s="1917"/>
      <c r="I43" s="1891"/>
      <c r="J43" s="1739"/>
      <c r="K43" s="1892"/>
      <c r="L43" s="1893"/>
      <c r="M43" s="1899"/>
      <c r="N43" s="2503"/>
    </row>
    <row r="44" spans="1:27" ht="16.5" customHeight="1" x14ac:dyDescent="0.2">
      <c r="A44" s="2503"/>
      <c r="B44" s="3967"/>
      <c r="C44" s="1731">
        <v>30</v>
      </c>
      <c r="D44" s="5"/>
      <c r="E44" s="5" t="s">
        <v>230</v>
      </c>
      <c r="F44" s="5"/>
      <c r="G44" s="1928" t="s">
        <v>1135</v>
      </c>
      <c r="I44" s="2714" t="s">
        <v>61</v>
      </c>
      <c r="J44" s="2715"/>
      <c r="K44" s="1455">
        <f>K41+K34+W34</f>
        <v>-521.86052251816477</v>
      </c>
      <c r="L44" s="874">
        <f>L41+L34+Y34</f>
        <v>-391.47415637051392</v>
      </c>
      <c r="M44" s="1456">
        <f>M41+M34+AA34</f>
        <v>-302.50531251520454</v>
      </c>
      <c r="N44" s="2503"/>
    </row>
    <row r="45" spans="1:27" ht="16.5" customHeight="1" x14ac:dyDescent="0.2">
      <c r="A45" s="2503"/>
      <c r="B45" s="3967"/>
      <c r="C45" s="1731">
        <v>31</v>
      </c>
      <c r="E45" s="5" t="s">
        <v>85</v>
      </c>
      <c r="F45" s="5"/>
      <c r="G45" s="5"/>
      <c r="H45" s="1928" t="s">
        <v>1136</v>
      </c>
      <c r="I45" s="2716"/>
      <c r="J45" s="2717" t="s">
        <v>988</v>
      </c>
      <c r="K45" s="1459">
        <f>IF(K32=0,0,(K41+W35)/V35)</f>
        <v>-14.998210727132159</v>
      </c>
      <c r="L45" s="873">
        <f>IF(L32=0,0,(L41+Y35)/X35)</f>
        <v>-12.342167995395236</v>
      </c>
      <c r="M45" s="1460">
        <f>IF(M32=0,0,(M41+AA35)/Z35)</f>
        <v>-10.302004486351521</v>
      </c>
      <c r="N45" s="2503"/>
    </row>
    <row r="46" spans="1:27" ht="16.5" customHeight="1" x14ac:dyDescent="0.25">
      <c r="A46" s="2503"/>
      <c r="B46" s="3967"/>
      <c r="C46" s="1731">
        <v>32</v>
      </c>
      <c r="E46" s="70" t="s">
        <v>198</v>
      </c>
      <c r="F46" s="5"/>
      <c r="G46" s="5"/>
      <c r="H46" s="1927" t="s">
        <v>232</v>
      </c>
      <c r="I46" s="2717" t="s">
        <v>989</v>
      </c>
      <c r="J46" s="2715"/>
      <c r="K46" s="1458">
        <f>(K41+K35+K36)*'Färse(a)'!L8</f>
        <v>-267.88296467523418</v>
      </c>
      <c r="L46" s="876">
        <f>(L41+L35+L36)*'Färse(a)'!N8</f>
        <v>-221.23763369698287</v>
      </c>
      <c r="M46" s="1464">
        <f>(M41+M35+M36)*'Färse(a)'!P8</f>
        <v>-192.36124358043389</v>
      </c>
      <c r="N46" s="2503"/>
    </row>
    <row r="47" spans="1:27" ht="3.2" customHeight="1" x14ac:dyDescent="0.2">
      <c r="A47" s="2503"/>
      <c r="B47" s="3967"/>
      <c r="C47" s="1736"/>
      <c r="D47" s="20"/>
      <c r="E47" s="12"/>
      <c r="F47" s="12"/>
      <c r="G47" s="439"/>
      <c r="H47" s="1923"/>
      <c r="I47" s="99"/>
      <c r="J47" s="1447"/>
      <c r="K47" s="1473"/>
      <c r="L47" s="884"/>
      <c r="M47" s="1474"/>
      <c r="N47" s="2503"/>
    </row>
    <row r="48" spans="1:27" ht="3.2" customHeight="1" x14ac:dyDescent="0.2">
      <c r="A48" s="2503"/>
      <c r="B48" s="3967"/>
      <c r="C48" s="1729"/>
      <c r="F48" s="5"/>
      <c r="G48" s="102"/>
      <c r="H48" s="1924"/>
      <c r="I48" s="96"/>
      <c r="J48" s="1443"/>
      <c r="K48" s="1459"/>
      <c r="L48" s="873"/>
      <c r="M48" s="1460"/>
      <c r="N48" s="2503"/>
    </row>
    <row r="49" spans="1:14" ht="16.5" customHeight="1" x14ac:dyDescent="0.2">
      <c r="A49" s="2503"/>
      <c r="B49" s="3967"/>
      <c r="C49" s="1731">
        <v>33</v>
      </c>
      <c r="D49" s="5" t="s">
        <v>87</v>
      </c>
      <c r="E49" s="5"/>
      <c r="F49" s="5"/>
      <c r="G49" s="5"/>
      <c r="H49" s="1885" t="s">
        <v>233</v>
      </c>
      <c r="I49" s="94"/>
      <c r="J49" s="1440"/>
      <c r="K49" s="1458">
        <f>K22+K25+K27+K39</f>
        <v>3480.8369991880854</v>
      </c>
      <c r="L49" s="876">
        <f>L22+L25+L27+L39</f>
        <v>3267.4542314040709</v>
      </c>
      <c r="M49" s="1464">
        <f>M22+M25+M27+M39</f>
        <v>3108.1192791464955</v>
      </c>
      <c r="N49" s="2503"/>
    </row>
    <row r="50" spans="1:14" ht="16.5" customHeight="1" x14ac:dyDescent="0.2">
      <c r="A50" s="2503"/>
      <c r="B50" s="3967"/>
      <c r="C50" s="1731">
        <v>34</v>
      </c>
      <c r="E50" s="11" t="s">
        <v>1107</v>
      </c>
      <c r="F50" s="11"/>
      <c r="G50" s="103"/>
      <c r="H50" s="1752" t="s">
        <v>134</v>
      </c>
      <c r="I50" s="94"/>
      <c r="J50" s="1440"/>
      <c r="K50" s="1475">
        <f>K12</f>
        <v>379.06656666666663</v>
      </c>
      <c r="L50" s="874">
        <f>L12</f>
        <v>349.9076</v>
      </c>
      <c r="M50" s="1457">
        <f>M12</f>
        <v>320.74863333333332</v>
      </c>
      <c r="N50" s="2503"/>
    </row>
    <row r="51" spans="1:14" ht="2.25" customHeight="1" x14ac:dyDescent="0.2">
      <c r="A51" s="2503"/>
      <c r="B51" s="3967"/>
      <c r="C51" s="1733"/>
      <c r="D51" s="20"/>
      <c r="E51" s="27"/>
      <c r="F51" s="27"/>
      <c r="G51" s="440"/>
      <c r="H51" s="1925"/>
      <c r="I51" s="441"/>
      <c r="J51" s="1450"/>
      <c r="K51" s="1476"/>
      <c r="L51" s="879"/>
      <c r="M51" s="1477"/>
      <c r="N51" s="2503"/>
    </row>
    <row r="52" spans="1:14" ht="2.25" customHeight="1" x14ac:dyDescent="0.2">
      <c r="A52" s="2503"/>
      <c r="B52" s="3967"/>
      <c r="C52" s="1731"/>
      <c r="E52" s="11"/>
      <c r="F52" s="11"/>
      <c r="G52" s="103"/>
      <c r="H52" s="1752"/>
      <c r="I52" s="94"/>
      <c r="J52" s="1440"/>
      <c r="K52" s="1475"/>
      <c r="L52" s="874"/>
      <c r="M52" s="1457"/>
      <c r="N52" s="2503"/>
    </row>
    <row r="53" spans="1:14" ht="16.5" customHeight="1" x14ac:dyDescent="0.2">
      <c r="A53" s="2503"/>
      <c r="B53" s="3967"/>
      <c r="C53" s="1731">
        <v>35</v>
      </c>
      <c r="D53" s="5" t="s">
        <v>526</v>
      </c>
      <c r="E53" s="73"/>
      <c r="F53" s="73"/>
      <c r="G53" s="5"/>
      <c r="H53" s="1885" t="s">
        <v>234</v>
      </c>
      <c r="I53" s="720" t="s">
        <v>61</v>
      </c>
      <c r="J53" s="1440"/>
      <c r="L53" s="876"/>
      <c r="M53" s="3140"/>
      <c r="N53" s="2503"/>
    </row>
    <row r="54" spans="1:14" ht="20.45" customHeight="1" x14ac:dyDescent="0.2">
      <c r="A54" s="2503"/>
      <c r="B54" s="3967"/>
      <c r="C54" s="1906">
        <v>36</v>
      </c>
      <c r="D54" s="3118" t="s">
        <v>1328</v>
      </c>
      <c r="E54" s="1908"/>
      <c r="F54" s="1908"/>
      <c r="G54" s="3143" t="s">
        <v>1064</v>
      </c>
      <c r="I54" s="96"/>
      <c r="J54" s="1443"/>
      <c r="K54" s="3144">
        <f>(K49-K50)/Stammdaten!$S$7</f>
        <v>2832.6670616633965</v>
      </c>
      <c r="L54" s="3145">
        <f>(L49-L50)/Stammdaten!$S$7</f>
        <v>2664.4261474009782</v>
      </c>
      <c r="M54" s="3146">
        <f>(M49-M50)/Stammdaten!$S$7</f>
        <v>2545.5439687791436</v>
      </c>
      <c r="N54" s="2503"/>
    </row>
    <row r="55" spans="1:14" ht="20.45" customHeight="1" x14ac:dyDescent="0.2">
      <c r="A55" s="2503"/>
      <c r="B55" s="3967"/>
      <c r="C55" s="1906" t="s">
        <v>1324</v>
      </c>
      <c r="D55" s="3118"/>
      <c r="F55" s="1908"/>
      <c r="G55" s="3142" t="str">
        <f>IF(Stammdaten!S7=1,"","dto. mit Mwst.")</f>
        <v>dto. mit Mwst.</v>
      </c>
      <c r="H55" s="1885"/>
      <c r="I55" s="96"/>
      <c r="J55" s="1443"/>
      <c r="K55" s="1458">
        <f>IF(Stammdaten!$S$7=1,"",K49-K50)</f>
        <v>3101.770432521419</v>
      </c>
      <c r="L55" s="883">
        <f>IF(Stammdaten!$S$7=1,"",L49-L50)</f>
        <v>2917.5466314040709</v>
      </c>
      <c r="M55" s="1464">
        <f>IF(Stammdaten!$S$7=1,"",M49-M50)</f>
        <v>2787.3706458131624</v>
      </c>
      <c r="N55" s="2503"/>
    </row>
    <row r="56" spans="1:14" ht="20.45" customHeight="1" x14ac:dyDescent="0.2">
      <c r="A56" s="2503"/>
      <c r="B56" s="3967"/>
      <c r="C56" s="2697"/>
      <c r="D56" s="2698" t="s">
        <v>842</v>
      </c>
      <c r="E56" s="1218"/>
      <c r="F56" s="2698"/>
      <c r="G56" s="83"/>
      <c r="H56" s="1921"/>
      <c r="I56" s="2699"/>
      <c r="J56" s="2700"/>
      <c r="K56" s="2701"/>
      <c r="L56" s="2702"/>
      <c r="M56" s="2703"/>
      <c r="N56" s="2503"/>
    </row>
    <row r="57" spans="1:14" ht="20.45" customHeight="1" x14ac:dyDescent="0.2">
      <c r="A57" s="2503"/>
      <c r="B57" s="3967"/>
      <c r="C57" s="1906">
        <v>37</v>
      </c>
      <c r="D57" s="823"/>
      <c r="E57" s="11" t="s">
        <v>615</v>
      </c>
      <c r="G57" s="5"/>
      <c r="H57" s="1885"/>
      <c r="I57" s="720" t="s">
        <v>61</v>
      </c>
      <c r="J57" s="1443"/>
      <c r="K57" s="2704">
        <f>K22+K25</f>
        <v>1037.6399158547517</v>
      </c>
      <c r="L57" s="2705">
        <f>L22+L25</f>
        <v>1099.9144202929601</v>
      </c>
      <c r="M57" s="2706">
        <f>M22+M25</f>
        <v>1133.6952402576064</v>
      </c>
      <c r="N57" s="2503"/>
    </row>
    <row r="58" spans="1:14" ht="20.45" customHeight="1" x14ac:dyDescent="0.2">
      <c r="A58" s="2503"/>
      <c r="B58" s="3967"/>
      <c r="C58" s="1906">
        <v>38</v>
      </c>
      <c r="D58" s="823"/>
      <c r="E58" s="11" t="s">
        <v>616</v>
      </c>
      <c r="G58" s="5"/>
      <c r="H58" s="1885"/>
      <c r="I58" s="96"/>
      <c r="J58" s="1443"/>
      <c r="K58" s="2704">
        <f>'Färse(a)'!BW50</f>
        <v>465.66400000000004</v>
      </c>
      <c r="L58" s="2705">
        <f>'Färse(a)'!BX50</f>
        <v>401.57100000000003</v>
      </c>
      <c r="M58" s="2706">
        <f>'Färse(a)'!BY50</f>
        <v>364.65600000000006</v>
      </c>
      <c r="N58" s="2503"/>
    </row>
    <row r="59" spans="1:14" ht="20.45" customHeight="1" x14ac:dyDescent="0.2">
      <c r="A59" s="2503"/>
      <c r="B59" s="3967"/>
      <c r="C59" s="1906">
        <v>39</v>
      </c>
      <c r="D59" s="823"/>
      <c r="E59" s="11" t="s">
        <v>617</v>
      </c>
      <c r="G59" s="5"/>
      <c r="H59" s="1885"/>
      <c r="I59" s="96"/>
      <c r="J59" s="1443"/>
      <c r="K59" s="2704">
        <f>K12</f>
        <v>379.06656666666663</v>
      </c>
      <c r="L59" s="2705">
        <f>L12</f>
        <v>349.9076</v>
      </c>
      <c r="M59" s="2706">
        <f>M12</f>
        <v>320.74863333333332</v>
      </c>
      <c r="N59" s="2503"/>
    </row>
    <row r="60" spans="1:14" ht="20.45" customHeight="1" x14ac:dyDescent="0.2">
      <c r="A60" s="2503"/>
      <c r="B60" s="3967"/>
      <c r="C60" s="1906">
        <v>40</v>
      </c>
      <c r="D60" s="73" t="s">
        <v>618</v>
      </c>
      <c r="F60" s="73"/>
      <c r="G60" s="5"/>
      <c r="H60" s="1885"/>
      <c r="I60" s="96"/>
      <c r="J60" s="1443"/>
      <c r="K60" s="2704">
        <f>K57+K58-K59</f>
        <v>1124.2373491880851</v>
      </c>
      <c r="L60" s="2705">
        <f>L57+L58-L59</f>
        <v>1151.57782029296</v>
      </c>
      <c r="M60" s="2706">
        <f>M57+M58-M59</f>
        <v>1177.6026069242732</v>
      </c>
      <c r="N60" s="2503"/>
    </row>
    <row r="61" spans="1:14" ht="20.45" customHeight="1" x14ac:dyDescent="0.2">
      <c r="A61" s="2503"/>
      <c r="B61" s="3967"/>
      <c r="C61" s="1906">
        <v>41</v>
      </c>
      <c r="D61" s="73" t="s">
        <v>840</v>
      </c>
      <c r="E61" s="73"/>
      <c r="F61" s="73"/>
      <c r="G61" s="5"/>
      <c r="H61" s="1885"/>
      <c r="I61" s="96"/>
      <c r="J61" s="1443"/>
      <c r="K61" s="2704">
        <f>K13-K25-K57-K58</f>
        <v>824.94484298791485</v>
      </c>
      <c r="L61" s="2705">
        <f>L13-L25-L57-L58</f>
        <v>797.748109325153</v>
      </c>
      <c r="M61" s="2706">
        <f>M13-M25-M57-M58</f>
        <v>772.59573259586034</v>
      </c>
      <c r="N61" s="2503"/>
    </row>
    <row r="62" spans="1:14" ht="20.45" customHeight="1" x14ac:dyDescent="0.2">
      <c r="A62" s="2503"/>
      <c r="B62" s="3967"/>
      <c r="C62" s="1906">
        <v>42</v>
      </c>
      <c r="D62" s="823"/>
      <c r="F62" s="11" t="s">
        <v>348</v>
      </c>
      <c r="G62" s="5"/>
      <c r="H62" s="1885"/>
      <c r="I62" s="722" t="s">
        <v>988</v>
      </c>
      <c r="J62" s="1443"/>
      <c r="K62" s="2711">
        <f>K61/V35</f>
        <v>23.708818850084668</v>
      </c>
      <c r="L62" s="2712">
        <f>L61/X35</f>
        <v>25.150935312269233</v>
      </c>
      <c r="M62" s="2713">
        <f>M61/Z35</f>
        <v>26.31122289113036</v>
      </c>
      <c r="N62" s="2503"/>
    </row>
    <row r="63" spans="1:14" ht="3.75" customHeight="1" thickBot="1" x14ac:dyDescent="0.25">
      <c r="A63" s="2503"/>
      <c r="B63" s="3967"/>
      <c r="C63" s="1906"/>
      <c r="D63" s="1907"/>
      <c r="E63" s="1908"/>
      <c r="F63" s="1908"/>
      <c r="G63" s="5"/>
      <c r="H63" s="1885"/>
      <c r="I63" s="96"/>
      <c r="J63" s="1443"/>
      <c r="K63" s="1894"/>
      <c r="L63" s="1895"/>
      <c r="M63" s="1460"/>
      <c r="N63" s="2503"/>
    </row>
    <row r="64" spans="1:14" ht="21.2" customHeight="1" x14ac:dyDescent="0.2">
      <c r="A64" s="2503"/>
      <c r="B64" s="3967"/>
      <c r="C64" s="1904">
        <v>43</v>
      </c>
      <c r="D64" s="1955" t="s">
        <v>591</v>
      </c>
      <c r="E64" s="1956"/>
      <c r="F64" s="1956"/>
      <c r="G64" s="1955"/>
      <c r="H64" s="1957" t="s">
        <v>235</v>
      </c>
      <c r="I64" s="1958"/>
      <c r="J64" s="1959"/>
      <c r="K64" s="2015">
        <f>K16+K17+K18+K19+K21+K25+K27</f>
        <v>2196.3279158547521</v>
      </c>
      <c r="L64" s="2016">
        <f>L16+L17+L18+L19+L21+L25+L27</f>
        <v>2037.6964202929601</v>
      </c>
      <c r="M64" s="2017">
        <f>M16+M17+M18+M19+M21+M25+M27</f>
        <v>1934.8472402576065</v>
      </c>
      <c r="N64" s="2503"/>
    </row>
    <row r="65" spans="1:14" ht="21.2" customHeight="1" x14ac:dyDescent="0.2">
      <c r="A65" s="2503"/>
      <c r="B65" s="3967"/>
      <c r="C65" s="1733">
        <v>44</v>
      </c>
      <c r="D65" s="2018" t="s">
        <v>93</v>
      </c>
      <c r="E65" s="2019"/>
      <c r="F65" s="2019"/>
      <c r="G65" s="2018"/>
      <c r="H65" s="2020" t="s">
        <v>1137</v>
      </c>
      <c r="I65" s="2021" t="s">
        <v>61</v>
      </c>
      <c r="J65" s="2022"/>
      <c r="K65" s="2023">
        <f>K13-K64</f>
        <v>153.73865081191434</v>
      </c>
      <c r="L65" s="2024">
        <f>L13-L64</f>
        <v>283.21117970703995</v>
      </c>
      <c r="M65" s="2025">
        <f>M13-M64</f>
        <v>356.90139307572667</v>
      </c>
      <c r="N65" s="2503"/>
    </row>
    <row r="66" spans="1:14" ht="1.5" customHeight="1" thickBot="1" x14ac:dyDescent="0.25">
      <c r="A66" s="2503"/>
      <c r="B66" s="3968"/>
      <c r="C66" s="1905"/>
      <c r="D66" s="1948"/>
      <c r="E66" s="1949"/>
      <c r="F66" s="1949"/>
      <c r="G66" s="1948"/>
      <c r="H66" s="1950"/>
      <c r="I66" s="1951"/>
      <c r="J66" s="1951"/>
      <c r="K66" s="1952"/>
      <c r="L66" s="1953"/>
      <c r="M66" s="1954"/>
      <c r="N66" s="2503"/>
    </row>
    <row r="67" spans="1:14" ht="15" customHeight="1" x14ac:dyDescent="0.2">
      <c r="A67" s="2503"/>
      <c r="C67" s="2100" t="s">
        <v>771</v>
      </c>
      <c r="D67" s="29"/>
      <c r="E67" s="29"/>
      <c r="F67" s="29"/>
      <c r="G67" s="2100" t="s">
        <v>1187</v>
      </c>
      <c r="H67" s="1926"/>
      <c r="I67" s="68"/>
      <c r="J67" s="68"/>
      <c r="N67" s="2503"/>
    </row>
    <row r="68" spans="1:14" ht="15" customHeight="1" x14ac:dyDescent="0.2">
      <c r="A68" s="2503"/>
      <c r="B68" s="2503"/>
      <c r="C68" s="2503"/>
      <c r="D68" s="2503"/>
      <c r="E68" s="2503"/>
      <c r="F68" s="2503"/>
      <c r="G68" s="2503"/>
      <c r="H68" s="2503"/>
      <c r="I68" s="2503"/>
      <c r="J68" s="2503"/>
      <c r="K68" s="2503"/>
      <c r="L68" s="2503" t="s">
        <v>43</v>
      </c>
      <c r="M68" s="2503"/>
      <c r="N68" s="2503"/>
    </row>
  </sheetData>
  <sheetProtection sheet="1" objects="1" scenarios="1"/>
  <mergeCells count="8">
    <mergeCell ref="Z27:AA27"/>
    <mergeCell ref="B32:B39"/>
    <mergeCell ref="B43:B66"/>
    <mergeCell ref="B11:B13"/>
    <mergeCell ref="B24:B28"/>
    <mergeCell ref="B16:B22"/>
    <mergeCell ref="V27:W27"/>
    <mergeCell ref="X27:Y27"/>
  </mergeCells>
  <phoneticPr fontId="0" type="noConversion"/>
  <printOptions horizontalCentered="1"/>
  <pageMargins left="0.59055118110236227" right="0.39370078740157483" top="0.67" bottom="0.75" header="0.19685039370078741" footer="0.35"/>
  <pageSetup paperSize="9" scale="74" firstPageNumber="39" orientation="portrait" useFirstPageNumber="1" verticalDpi="300" r:id="rId1"/>
  <headerFooter alignWithMargins="0">
    <oddFooter>&amp;LLEL Schwäbisch Gmünd
11.02.02&amp;C&amp;"Arial,Fett"&amp;12&amp;P&amp;RKalkulationsdaten Milchviehhaltung;
&amp;F   &amp;A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3" tint="0.39997558519241921"/>
  </sheetPr>
  <dimension ref="A1:U118"/>
  <sheetViews>
    <sheetView showGridLines="0" zoomScaleNormal="100" workbookViewId="0">
      <selection activeCell="S64" sqref="S64"/>
    </sheetView>
  </sheetViews>
  <sheetFormatPr baseColWidth="10" defaultColWidth="6.28515625" defaultRowHeight="23.25" x14ac:dyDescent="0.2"/>
  <cols>
    <col min="1" max="1" width="2.28515625" style="301" customWidth="1"/>
    <col min="2" max="2" width="1.7109375" style="301" customWidth="1"/>
    <col min="3" max="4" width="6.28515625" style="301" customWidth="1"/>
    <col min="5" max="5" width="11.140625" style="301" customWidth="1"/>
    <col min="6" max="6" width="3.85546875" style="301" customWidth="1"/>
    <col min="7" max="7" width="4" style="301" customWidth="1"/>
    <col min="8" max="11" width="6.28515625" style="301" customWidth="1"/>
    <col min="12" max="12" width="6.140625" style="301" customWidth="1"/>
    <col min="13" max="13" width="7" style="301" customWidth="1"/>
    <col min="14" max="14" width="2.28515625" style="301" customWidth="1"/>
    <col min="15" max="15" width="6.28515625" style="301" customWidth="1"/>
    <col min="16" max="16" width="8.7109375" style="301" customWidth="1"/>
    <col min="17" max="17" width="14.7109375" style="301" customWidth="1"/>
    <col min="18" max="19" width="14.42578125" style="301" customWidth="1"/>
    <col min="20" max="20" width="1.42578125" style="301" customWidth="1"/>
    <col min="21" max="21" width="3" style="301" customWidth="1"/>
    <col min="22" max="16384" width="6.28515625" style="301"/>
  </cols>
  <sheetData>
    <row r="1" spans="1:21" ht="22.15" customHeight="1" x14ac:dyDescent="0.2">
      <c r="A1" s="2503"/>
      <c r="B1" s="2503"/>
      <c r="C1" s="2503"/>
      <c r="D1" s="2503"/>
      <c r="E1" s="2503"/>
      <c r="F1" s="2503"/>
      <c r="G1" s="2503"/>
      <c r="H1" s="2503"/>
      <c r="I1" s="2503"/>
      <c r="J1" s="2503"/>
      <c r="K1" s="2503"/>
      <c r="L1" s="2503"/>
      <c r="M1" s="2503"/>
      <c r="N1" s="2503"/>
      <c r="O1" s="2503"/>
      <c r="P1" s="2503"/>
      <c r="Q1" s="2503"/>
      <c r="R1" s="2503"/>
      <c r="S1" s="2503"/>
      <c r="T1" s="2503"/>
      <c r="U1" s="2503"/>
    </row>
    <row r="2" spans="1:21" ht="5.25" customHeight="1" x14ac:dyDescent="0.2">
      <c r="A2" s="2503"/>
      <c r="U2" s="2503"/>
    </row>
    <row r="3" spans="1:21" ht="30.2" customHeight="1" x14ac:dyDescent="0.2">
      <c r="A3" s="2503"/>
      <c r="B3" s="3075"/>
      <c r="C3" s="3076" t="s">
        <v>94</v>
      </c>
      <c r="D3" s="3076" t="s">
        <v>57</v>
      </c>
      <c r="E3" s="3077"/>
      <c r="F3" s="3077"/>
      <c r="G3" s="3077"/>
      <c r="H3" s="3077"/>
      <c r="I3" s="3077"/>
      <c r="J3" s="3077"/>
      <c r="K3" s="3077"/>
      <c r="L3" s="3077"/>
      <c r="M3" s="3077"/>
      <c r="N3" s="3077"/>
      <c r="O3" s="3077"/>
      <c r="P3" s="3077"/>
      <c r="Q3" s="3078"/>
      <c r="R3" s="3079"/>
      <c r="S3" s="3080" t="str">
        <f>'Färse(b)'!M2</f>
        <v>Färsenaufzucht</v>
      </c>
      <c r="T3" s="3106"/>
      <c r="U3" s="2503"/>
    </row>
    <row r="4" spans="1:21" x14ac:dyDescent="0.2">
      <c r="A4" s="2503"/>
      <c r="B4" s="3081"/>
      <c r="C4" s="3082" t="s">
        <v>95</v>
      </c>
      <c r="D4" s="3082" t="s">
        <v>241</v>
      </c>
      <c r="E4" s="3083"/>
      <c r="F4" s="3083"/>
      <c r="G4" s="3083"/>
      <c r="H4" s="3083"/>
      <c r="I4" s="3083"/>
      <c r="J4" s="3083"/>
      <c r="K4" s="3083"/>
      <c r="L4" s="3083"/>
      <c r="M4" s="3083"/>
      <c r="N4" s="3083"/>
      <c r="O4" s="3083"/>
      <c r="P4" s="3083"/>
      <c r="Q4" s="3084" t="s">
        <v>97</v>
      </c>
      <c r="R4" s="3085"/>
      <c r="S4" s="3086">
        <f>'Färse(b)'!M4</f>
        <v>2022</v>
      </c>
      <c r="T4" s="3107"/>
      <c r="U4" s="2503"/>
    </row>
    <row r="5" spans="1:21" s="4" customFormat="1" ht="12.2" customHeight="1" x14ac:dyDescent="0.2">
      <c r="A5" s="2503"/>
      <c r="B5" s="323"/>
      <c r="C5" s="20"/>
      <c r="D5" s="20"/>
      <c r="E5" s="20"/>
      <c r="F5" s="20"/>
      <c r="G5" s="20"/>
      <c r="H5" s="20"/>
      <c r="I5" s="20"/>
      <c r="J5" s="20"/>
      <c r="K5" s="20"/>
      <c r="L5" s="20"/>
      <c r="M5" s="20"/>
      <c r="N5" s="20"/>
      <c r="O5" s="20"/>
      <c r="P5" s="20"/>
      <c r="Q5" s="20"/>
      <c r="R5" s="20"/>
      <c r="S5" s="20"/>
      <c r="T5" s="309"/>
      <c r="U5" s="2503"/>
    </row>
    <row r="6" spans="1:21" ht="30.2" customHeight="1" x14ac:dyDescent="0.2">
      <c r="A6" s="2503"/>
      <c r="B6" s="898"/>
      <c r="C6" s="899" t="s">
        <v>237</v>
      </c>
      <c r="D6" s="900"/>
      <c r="E6" s="900"/>
      <c r="F6" s="900"/>
      <c r="G6" s="900"/>
      <c r="H6" s="900"/>
      <c r="I6" s="900"/>
      <c r="J6" s="900"/>
      <c r="K6" s="900"/>
      <c r="L6" s="900"/>
      <c r="M6" s="900"/>
      <c r="N6" s="900"/>
      <c r="O6" s="901" t="s">
        <v>238</v>
      </c>
      <c r="P6" s="902"/>
      <c r="Q6" s="903">
        <f>'Färse(b)'!K7</f>
        <v>30</v>
      </c>
      <c r="R6" s="903">
        <f>'Färse(b)'!L7</f>
        <v>28</v>
      </c>
      <c r="S6" s="903">
        <f>'Färse(b)'!M7</f>
        <v>26</v>
      </c>
      <c r="T6" s="902"/>
      <c r="U6" s="2503"/>
    </row>
    <row r="7" spans="1:21" ht="30.2" customHeight="1" x14ac:dyDescent="0.2">
      <c r="A7" s="2503"/>
      <c r="B7" s="904"/>
      <c r="C7" s="905" t="str">
        <f>IF(Stammdaten!S7=1,"Färsenpreis (ohne Mwst.)","Färsenpreis  ( inkl. Mwst. )")</f>
        <v>Färsenpreis  ( inkl. Mwst. )</v>
      </c>
      <c r="D7" s="906"/>
      <c r="E7" s="906"/>
      <c r="F7" s="906"/>
      <c r="G7" s="906"/>
      <c r="H7" s="906"/>
      <c r="I7" s="906"/>
      <c r="J7" s="906"/>
      <c r="K7" s="906"/>
      <c r="L7" s="906"/>
      <c r="M7" s="906"/>
      <c r="N7" s="906"/>
      <c r="O7" s="904" t="s">
        <v>249</v>
      </c>
      <c r="P7" s="907"/>
      <c r="Q7" s="908">
        <f>'Färse(b)'!K9</f>
        <v>1971</v>
      </c>
      <c r="R7" s="908">
        <f>'Färse(b)'!L9</f>
        <v>1971</v>
      </c>
      <c r="S7" s="908">
        <f>'Färse(b)'!M9</f>
        <v>1971</v>
      </c>
      <c r="T7" s="909"/>
      <c r="U7" s="2503"/>
    </row>
    <row r="8" spans="1:21" ht="15" customHeight="1" x14ac:dyDescent="0.2">
      <c r="A8" s="2503"/>
      <c r="B8" s="315"/>
      <c r="C8" s="331"/>
      <c r="D8" s="331"/>
      <c r="E8" s="331"/>
      <c r="F8" s="331"/>
      <c r="G8" s="331"/>
      <c r="H8" s="331"/>
      <c r="I8" s="331"/>
      <c r="J8" s="331"/>
      <c r="K8" s="331"/>
      <c r="L8" s="331"/>
      <c r="M8" s="331"/>
      <c r="N8" s="331"/>
      <c r="O8" s="315"/>
      <c r="P8" s="317"/>
      <c r="Q8" s="331"/>
      <c r="R8" s="331"/>
      <c r="S8" s="331"/>
      <c r="T8" s="336"/>
      <c r="U8" s="2503"/>
    </row>
    <row r="9" spans="1:21" ht="30.2" customHeight="1" x14ac:dyDescent="0.2">
      <c r="A9" s="2503"/>
      <c r="B9" s="302"/>
      <c r="C9" s="303" t="s">
        <v>242</v>
      </c>
      <c r="D9" s="303"/>
      <c r="E9" s="303"/>
      <c r="F9" s="303"/>
      <c r="G9" s="303"/>
      <c r="H9" s="303"/>
      <c r="I9" s="303"/>
      <c r="J9" s="303"/>
      <c r="K9" s="303"/>
      <c r="L9" s="303"/>
      <c r="M9" s="303"/>
      <c r="N9" s="303"/>
      <c r="O9" s="302" t="s">
        <v>249</v>
      </c>
      <c r="P9" s="304"/>
      <c r="Q9" s="332">
        <f>'Färse(b)'!K11</f>
        <v>1971</v>
      </c>
      <c r="R9" s="332">
        <f>'Färse(b)'!L11</f>
        <v>1971</v>
      </c>
      <c r="S9" s="332">
        <f>'Färse(b)'!M11</f>
        <v>1971</v>
      </c>
      <c r="T9" s="300"/>
      <c r="U9" s="2503"/>
    </row>
    <row r="10" spans="1:21" ht="30.2" customHeight="1" x14ac:dyDescent="0.2">
      <c r="A10" s="2503"/>
      <c r="B10" s="302"/>
      <c r="C10" s="303" t="s">
        <v>102</v>
      </c>
      <c r="D10" s="303"/>
      <c r="E10" s="303"/>
      <c r="F10" s="303"/>
      <c r="G10" s="303"/>
      <c r="H10" s="303"/>
      <c r="I10" s="303"/>
      <c r="J10" s="303"/>
      <c r="K10" s="303"/>
      <c r="L10" s="303"/>
      <c r="M10" s="303"/>
      <c r="N10" s="303"/>
      <c r="O10" s="302"/>
      <c r="P10" s="304"/>
      <c r="Q10" s="332">
        <f>'Färse(b)'!K12</f>
        <v>379.06656666666663</v>
      </c>
      <c r="R10" s="332">
        <f>'Färse(b)'!L12</f>
        <v>349.9076</v>
      </c>
      <c r="S10" s="332">
        <f>'Färse(b)'!M12</f>
        <v>320.74863333333332</v>
      </c>
      <c r="T10" s="300"/>
      <c r="U10" s="2503"/>
    </row>
    <row r="11" spans="1:21" ht="36" customHeight="1" x14ac:dyDescent="0.2">
      <c r="A11" s="2503"/>
      <c r="B11" s="316"/>
      <c r="C11" s="313" t="s">
        <v>103</v>
      </c>
      <c r="D11" s="306"/>
      <c r="E11" s="306"/>
      <c r="F11" s="306"/>
      <c r="G11" s="306"/>
      <c r="H11" s="306"/>
      <c r="I11" s="306"/>
      <c r="J11" s="306"/>
      <c r="K11" s="306"/>
      <c r="L11" s="306"/>
      <c r="M11" s="306"/>
      <c r="N11" s="306"/>
      <c r="O11" s="316"/>
      <c r="P11" s="320"/>
      <c r="Q11" s="335">
        <f>Q9+Q10</f>
        <v>2350.0665666666664</v>
      </c>
      <c r="R11" s="335">
        <f>R9+R10</f>
        <v>2320.9076</v>
      </c>
      <c r="S11" s="335">
        <f>S9+S10</f>
        <v>2291.7486333333331</v>
      </c>
      <c r="T11" s="25"/>
      <c r="U11" s="2503"/>
    </row>
    <row r="12" spans="1:21" ht="30.2" customHeight="1" x14ac:dyDescent="0.2">
      <c r="A12" s="2503"/>
      <c r="B12" s="302"/>
      <c r="C12" s="303" t="s">
        <v>797</v>
      </c>
      <c r="D12" s="303"/>
      <c r="E12" s="303"/>
      <c r="F12" s="303"/>
      <c r="G12" s="303"/>
      <c r="H12" s="303"/>
      <c r="I12" s="303"/>
      <c r="J12" s="303"/>
      <c r="K12" s="303"/>
      <c r="L12" s="303"/>
      <c r="M12" s="303"/>
      <c r="N12" s="303"/>
      <c r="O12" s="302"/>
      <c r="P12" s="304"/>
      <c r="Q12" s="332">
        <f>'Färse(b)'!K16</f>
        <v>484.1417602974185</v>
      </c>
      <c r="R12" s="332">
        <f>'Färse(b)'!L16</f>
        <v>484.1417602974185</v>
      </c>
      <c r="S12" s="332">
        <f>'Färse(b)'!M16</f>
        <v>484.1417602974185</v>
      </c>
      <c r="T12" s="300"/>
      <c r="U12" s="2503"/>
    </row>
    <row r="13" spans="1:21" ht="30.2" customHeight="1" x14ac:dyDescent="0.2">
      <c r="A13" s="2503"/>
      <c r="B13" s="302"/>
      <c r="C13" s="303" t="s">
        <v>104</v>
      </c>
      <c r="D13" s="303"/>
      <c r="E13" s="303"/>
      <c r="F13" s="303"/>
      <c r="G13" s="303"/>
      <c r="H13" s="303"/>
      <c r="I13" s="303"/>
      <c r="J13" s="303"/>
      <c r="K13" s="303"/>
      <c r="L13" s="303"/>
      <c r="M13" s="303"/>
      <c r="N13" s="303"/>
      <c r="O13" s="302"/>
      <c r="P13" s="304"/>
      <c r="Q13" s="332">
        <f>'Färse(b)'!K17</f>
        <v>146.08000000000001</v>
      </c>
      <c r="R13" s="332">
        <f>'Färse(b)'!L17</f>
        <v>201.73250000000002</v>
      </c>
      <c r="S13" s="332">
        <f>'Färse(b)'!M17</f>
        <v>257.38499999999999</v>
      </c>
      <c r="T13" s="300"/>
      <c r="U13" s="2503"/>
    </row>
    <row r="14" spans="1:21" ht="30.2" customHeight="1" x14ac:dyDescent="0.2">
      <c r="A14" s="2503"/>
      <c r="B14" s="302"/>
      <c r="C14" s="303" t="s">
        <v>140</v>
      </c>
      <c r="D14" s="303"/>
      <c r="E14" s="303"/>
      <c r="F14" s="303"/>
      <c r="G14" s="303"/>
      <c r="H14" s="303"/>
      <c r="I14" s="303"/>
      <c r="J14" s="303"/>
      <c r="K14" s="303"/>
      <c r="L14" s="303"/>
      <c r="M14" s="303"/>
      <c r="N14" s="303"/>
      <c r="O14" s="302"/>
      <c r="P14" s="304"/>
      <c r="Q14" s="332">
        <f>'Färse(b)'!K18+'Färse(b)'!K19+'Färse(b)'!K20+'Färse(b)'!K21+'Färse(b)'!K25</f>
        <v>407.41815555733336</v>
      </c>
      <c r="R14" s="332">
        <f>'Färse(b)'!L18+'Färse(b)'!L19+'Färse(b)'!L20+'Färse(b)'!L21+'Färse(b)'!L25</f>
        <v>414.04015999554161</v>
      </c>
      <c r="S14" s="332">
        <f>'Färse(b)'!M18+'Färse(b)'!M19+'Färse(b)'!M20+'Färse(b)'!M21+'Färse(b)'!M25</f>
        <v>392.16847996018777</v>
      </c>
      <c r="T14" s="300"/>
      <c r="U14" s="2503"/>
    </row>
    <row r="15" spans="1:21" ht="36" customHeight="1" x14ac:dyDescent="0.2">
      <c r="A15" s="2503"/>
      <c r="B15" s="316"/>
      <c r="C15" s="313" t="s">
        <v>105</v>
      </c>
      <c r="D15" s="306"/>
      <c r="E15" s="306"/>
      <c r="F15" s="306"/>
      <c r="G15" s="306"/>
      <c r="H15" s="306"/>
      <c r="I15" s="306"/>
      <c r="J15" s="306"/>
      <c r="K15" s="306"/>
      <c r="L15" s="306"/>
      <c r="M15" s="306"/>
      <c r="N15" s="306"/>
      <c r="O15" s="316"/>
      <c r="P15" s="320"/>
      <c r="Q15" s="335">
        <f>SUM(Q12:Q14)</f>
        <v>1037.639915854752</v>
      </c>
      <c r="R15" s="335">
        <f>SUM(R12:R14)</f>
        <v>1099.9144202929601</v>
      </c>
      <c r="S15" s="335">
        <f>SUM(S12:S14)</f>
        <v>1133.6952402576062</v>
      </c>
      <c r="T15" s="25"/>
      <c r="U15" s="2503"/>
    </row>
    <row r="16" spans="1:21" ht="39.75" customHeight="1" x14ac:dyDescent="0.2">
      <c r="A16" s="2503"/>
      <c r="B16" s="315"/>
      <c r="C16" s="337" t="s">
        <v>905</v>
      </c>
      <c r="D16" s="331"/>
      <c r="E16" s="331"/>
      <c r="F16" s="331"/>
      <c r="G16" s="331"/>
      <c r="H16" s="331"/>
      <c r="I16" s="331"/>
      <c r="J16" s="331"/>
      <c r="K16" s="331"/>
      <c r="L16" s="331"/>
      <c r="M16" s="331"/>
      <c r="N16" s="331"/>
      <c r="O16" s="315"/>
      <c r="P16" s="317"/>
      <c r="Q16" s="338">
        <f>Q11-Q15</f>
        <v>1312.4266508119144</v>
      </c>
      <c r="R16" s="338">
        <f>R11-R15</f>
        <v>1220.9931797070399</v>
      </c>
      <c r="S16" s="338">
        <f>S11-S15</f>
        <v>1158.0533930757269</v>
      </c>
      <c r="T16" s="336"/>
      <c r="U16" s="2503"/>
    </row>
    <row r="17" spans="1:21" ht="24" customHeight="1" x14ac:dyDescent="0.2">
      <c r="A17" s="2503"/>
      <c r="B17" s="302"/>
      <c r="C17" s="303" t="s">
        <v>626</v>
      </c>
      <c r="D17" s="303"/>
      <c r="E17" s="303"/>
      <c r="F17" s="303"/>
      <c r="G17" s="303"/>
      <c r="H17" s="303"/>
      <c r="I17" s="303"/>
      <c r="J17" s="303"/>
      <c r="K17" s="303"/>
      <c r="L17" s="303"/>
      <c r="M17" s="303"/>
      <c r="N17" s="303"/>
      <c r="O17" s="302"/>
      <c r="P17" s="304"/>
      <c r="Q17" s="332">
        <f>'Färse(b)'!K27</f>
        <v>1307.9680000000001</v>
      </c>
      <c r="R17" s="332">
        <f>'Färse(b)'!L27</f>
        <v>1092.0419999999999</v>
      </c>
      <c r="S17" s="332">
        <f>'Färse(b)'!M27</f>
        <v>960.43200000000002</v>
      </c>
      <c r="T17" s="304"/>
      <c r="U17" s="2503"/>
    </row>
    <row r="18" spans="1:21" ht="30.75" customHeight="1" x14ac:dyDescent="0.2">
      <c r="A18" s="2503"/>
      <c r="B18" s="316"/>
      <c r="C18" s="314" t="s">
        <v>906</v>
      </c>
      <c r="D18" s="306"/>
      <c r="E18" s="306"/>
      <c r="F18" s="306"/>
      <c r="G18" s="306"/>
      <c r="H18" s="306"/>
      <c r="I18" s="306"/>
      <c r="J18" s="306"/>
      <c r="K18" s="306"/>
      <c r="L18" s="306"/>
      <c r="M18" s="306"/>
      <c r="N18" s="306"/>
      <c r="O18" s="316"/>
      <c r="P18" s="320"/>
      <c r="Q18" s="339">
        <f>Q16-Q17</f>
        <v>4.4586508119143673</v>
      </c>
      <c r="R18" s="339">
        <f>R16-R17</f>
        <v>128.95117970703996</v>
      </c>
      <c r="S18" s="339">
        <f>S16-S17</f>
        <v>197.62139307572693</v>
      </c>
      <c r="T18" s="320"/>
      <c r="U18" s="2503"/>
    </row>
    <row r="19" spans="1:21" ht="15" customHeight="1" x14ac:dyDescent="0.2">
      <c r="A19" s="2503"/>
      <c r="U19" s="2503"/>
    </row>
    <row r="20" spans="1:21" ht="12.2" customHeight="1" x14ac:dyDescent="0.2">
      <c r="A20" s="2503"/>
      <c r="U20" s="2503"/>
    </row>
    <row r="21" spans="1:21" ht="28.5" customHeight="1" x14ac:dyDescent="0.2">
      <c r="A21" s="2503"/>
      <c r="B21" s="3075"/>
      <c r="C21" s="3087" t="s">
        <v>131</v>
      </c>
      <c r="D21" s="3088" t="s">
        <v>57</v>
      </c>
      <c r="E21" s="3089"/>
      <c r="F21" s="3089"/>
      <c r="G21" s="3089"/>
      <c r="H21" s="3089"/>
      <c r="I21" s="3089"/>
      <c r="J21" s="3089"/>
      <c r="K21" s="3089"/>
      <c r="L21" s="3089"/>
      <c r="M21" s="3089"/>
      <c r="N21" s="3089"/>
      <c r="O21" s="3089"/>
      <c r="P21" s="3089"/>
      <c r="Q21" s="3077"/>
      <c r="R21" s="3091"/>
      <c r="S21" s="3092" t="str">
        <f>'Färse(b)'!M2</f>
        <v>Färsenaufzucht</v>
      </c>
      <c r="T21" s="3106"/>
      <c r="U21" s="2503"/>
    </row>
    <row r="22" spans="1:21" ht="23.25" customHeight="1" x14ac:dyDescent="0.2">
      <c r="A22" s="2503"/>
      <c r="B22" s="3081"/>
      <c r="C22" s="3093" t="s">
        <v>95</v>
      </c>
      <c r="D22" s="3094" t="s">
        <v>243</v>
      </c>
      <c r="E22" s="3095"/>
      <c r="F22" s="3095"/>
      <c r="G22" s="3095"/>
      <c r="H22" s="3095"/>
      <c r="I22" s="3095"/>
      <c r="J22" s="3095"/>
      <c r="K22" s="3095"/>
      <c r="L22" s="3095"/>
      <c r="M22" s="3095"/>
      <c r="N22" s="3095"/>
      <c r="O22" s="3095"/>
      <c r="P22" s="3095"/>
      <c r="Q22" s="3096" t="str">
        <f>Q4</f>
        <v xml:space="preserve">  Kalenderjahr:</v>
      </c>
      <c r="R22" s="3097"/>
      <c r="S22" s="3098">
        <f>'Färse(b)'!M4</f>
        <v>2022</v>
      </c>
      <c r="T22" s="3107"/>
      <c r="U22" s="2503"/>
    </row>
    <row r="23" spans="1:21" s="4" customFormat="1" ht="12.75" x14ac:dyDescent="0.2">
      <c r="A23" s="2503"/>
      <c r="B23" s="3108"/>
      <c r="C23" s="3109"/>
      <c r="D23" s="3109"/>
      <c r="E23" s="3109"/>
      <c r="F23" s="3109"/>
      <c r="G23" s="3109"/>
      <c r="H23" s="3109"/>
      <c r="I23" s="3109"/>
      <c r="J23" s="3109"/>
      <c r="K23" s="3109"/>
      <c r="L23" s="3109"/>
      <c r="M23" s="3109"/>
      <c r="N23" s="3109"/>
      <c r="O23" s="3109"/>
      <c r="P23" s="3109"/>
      <c r="Q23" s="3109"/>
      <c r="R23" s="3109"/>
      <c r="S23" s="3109"/>
      <c r="T23" s="3110"/>
      <c r="U23" s="2503"/>
    </row>
    <row r="24" spans="1:21" ht="30.2" customHeight="1" x14ac:dyDescent="0.2">
      <c r="A24" s="2503"/>
      <c r="B24" s="898"/>
      <c r="C24" s="899" t="s">
        <v>237</v>
      </c>
      <c r="D24" s="900"/>
      <c r="E24" s="900"/>
      <c r="F24" s="900"/>
      <c r="G24" s="900"/>
      <c r="H24" s="900"/>
      <c r="I24" s="900"/>
      <c r="J24" s="900"/>
      <c r="K24" s="900"/>
      <c r="L24" s="900"/>
      <c r="M24" s="900"/>
      <c r="N24" s="900"/>
      <c r="O24" s="910" t="s">
        <v>238</v>
      </c>
      <c r="P24" s="902"/>
      <c r="Q24" s="903">
        <f>'Färse(b)'!K7</f>
        <v>30</v>
      </c>
      <c r="R24" s="903">
        <f>'Färse(b)'!L7</f>
        <v>28</v>
      </c>
      <c r="S24" s="903">
        <f>'Färse(b)'!M7</f>
        <v>26</v>
      </c>
      <c r="T24" s="902"/>
      <c r="U24" s="2503"/>
    </row>
    <row r="25" spans="1:21" ht="30.2" customHeight="1" x14ac:dyDescent="0.2">
      <c r="A25" s="2503"/>
      <c r="B25" s="904"/>
      <c r="C25" s="911" t="str">
        <f>IF(Stammdaten!S7=1,"Färsenpreis (ohne Mwst.)","Färsenpreis  ( inkl. Mwst. )")</f>
        <v>Färsenpreis  ( inkl. Mwst. )</v>
      </c>
      <c r="D25" s="906"/>
      <c r="E25" s="906"/>
      <c r="F25" s="906"/>
      <c r="G25" s="906"/>
      <c r="H25" s="906"/>
      <c r="I25" s="906"/>
      <c r="J25" s="906"/>
      <c r="K25" s="906"/>
      <c r="L25" s="906"/>
      <c r="M25" s="906"/>
      <c r="N25" s="906"/>
      <c r="O25" s="904" t="s">
        <v>249</v>
      </c>
      <c r="P25" s="907"/>
      <c r="Q25" s="908">
        <f>'Färse(b)'!K9</f>
        <v>1971</v>
      </c>
      <c r="R25" s="908">
        <f>'Färse(b)'!L9</f>
        <v>1971</v>
      </c>
      <c r="S25" s="908">
        <f>'Färse(b)'!M9</f>
        <v>1971</v>
      </c>
      <c r="T25" s="907"/>
      <c r="U25" s="2503"/>
    </row>
    <row r="26" spans="1:21" ht="48.2" customHeight="1" x14ac:dyDescent="0.2">
      <c r="A26" s="2503"/>
      <c r="B26" s="340"/>
      <c r="C26" s="341" t="s">
        <v>130</v>
      </c>
      <c r="D26" s="342"/>
      <c r="E26" s="342"/>
      <c r="F26" s="342"/>
      <c r="G26" s="342"/>
      <c r="H26" s="342"/>
      <c r="I26" s="342"/>
      <c r="J26" s="342"/>
      <c r="K26" s="342"/>
      <c r="L26" s="342"/>
      <c r="M26" s="342"/>
      <c r="N26" s="342"/>
      <c r="O26" s="340" t="s">
        <v>527</v>
      </c>
      <c r="P26" s="344"/>
      <c r="Q26" s="343">
        <f>Q18</f>
        <v>4.4586508119143673</v>
      </c>
      <c r="R26" s="343">
        <f>R18</f>
        <v>128.95117970703996</v>
      </c>
      <c r="S26" s="343">
        <f>S18</f>
        <v>197.62139307572693</v>
      </c>
      <c r="T26" s="344"/>
      <c r="U26" s="2503"/>
    </row>
    <row r="27" spans="1:21" ht="36" customHeight="1" x14ac:dyDescent="0.2">
      <c r="A27" s="2503"/>
      <c r="B27" s="315"/>
      <c r="C27" s="331" t="s">
        <v>47</v>
      </c>
      <c r="D27" s="331"/>
      <c r="E27" s="331"/>
      <c r="F27" s="331"/>
      <c r="G27" s="331"/>
      <c r="H27" s="331"/>
      <c r="I27" s="331"/>
      <c r="J27" s="331"/>
      <c r="K27" s="331"/>
      <c r="L27" s="331"/>
      <c r="M27" s="331"/>
      <c r="N27" s="331"/>
      <c r="O27" s="315"/>
      <c r="P27" s="317"/>
      <c r="Q27" s="354">
        <f>'Färse(b)'!K34</f>
        <v>423.02750000000003</v>
      </c>
      <c r="R27" s="354">
        <f>'Färse(b)'!L34</f>
        <v>410.7763333333333</v>
      </c>
      <c r="S27" s="354">
        <f>'Färse(b)'!M34</f>
        <v>396.75066666666669</v>
      </c>
      <c r="T27" s="317"/>
      <c r="U27" s="2503"/>
    </row>
    <row r="28" spans="1:21" ht="36" customHeight="1" x14ac:dyDescent="0.2">
      <c r="A28" s="2503"/>
      <c r="B28" s="302"/>
      <c r="C28" s="303" t="s">
        <v>144</v>
      </c>
      <c r="D28" s="303"/>
      <c r="E28" s="303"/>
      <c r="F28" s="303"/>
      <c r="G28" s="303"/>
      <c r="H28" s="303"/>
      <c r="I28" s="303"/>
      <c r="J28" s="303"/>
      <c r="K28" s="303"/>
      <c r="L28" s="303"/>
      <c r="M28" s="303"/>
      <c r="N28" s="303"/>
      <c r="O28" s="302"/>
      <c r="P28" s="304"/>
      <c r="Q28" s="332">
        <f>'Färse(b)'!K35+'Färse(b)'!K36</f>
        <v>461.06302083333327</v>
      </c>
      <c r="R28" s="332">
        <f>'Färse(b)'!L35+'Färse(b)'!L36</f>
        <v>430.32548611111116</v>
      </c>
      <c r="S28" s="332">
        <f>'Färse(b)'!M35+'Färse(b)'!M36</f>
        <v>399.58795138888883</v>
      </c>
      <c r="T28" s="304"/>
      <c r="U28" s="2503"/>
    </row>
    <row r="29" spans="1:21" ht="36" customHeight="1" x14ac:dyDescent="0.2">
      <c r="A29" s="2503"/>
      <c r="B29" s="302"/>
      <c r="C29" s="303" t="s">
        <v>81</v>
      </c>
      <c r="D29" s="303"/>
      <c r="E29" s="303"/>
      <c r="F29" s="303"/>
      <c r="G29" s="303"/>
      <c r="H29" s="303"/>
      <c r="I29" s="303"/>
      <c r="J29" s="303"/>
      <c r="K29" s="303"/>
      <c r="L29" s="303"/>
      <c r="M29" s="303"/>
      <c r="N29" s="303"/>
      <c r="O29" s="302"/>
      <c r="P29" s="304"/>
      <c r="Q29" s="332">
        <f>'Färse(b)'!K37</f>
        <v>111.13856249999999</v>
      </c>
      <c r="R29" s="332">
        <f>'Färse(b)'!L37</f>
        <v>103.729325</v>
      </c>
      <c r="S29" s="332">
        <f>'Färse(b)'!M37</f>
        <v>96.320087499999985</v>
      </c>
      <c r="T29" s="304"/>
      <c r="U29" s="2503"/>
    </row>
    <row r="30" spans="1:21" ht="36" customHeight="1" x14ac:dyDescent="0.2">
      <c r="A30" s="2503"/>
      <c r="B30" s="302"/>
      <c r="C30" s="303" t="s">
        <v>895</v>
      </c>
      <c r="D30" s="303"/>
      <c r="E30" s="303"/>
      <c r="F30" s="303"/>
      <c r="G30" s="303"/>
      <c r="H30" s="303"/>
      <c r="I30" s="303"/>
      <c r="J30" s="303"/>
      <c r="K30" s="303"/>
      <c r="L30" s="303"/>
      <c r="M30" s="303"/>
      <c r="N30" s="303"/>
      <c r="O30" s="302"/>
      <c r="P30" s="304"/>
      <c r="Q30" s="332">
        <f>'Färse(b)'!K38</f>
        <v>140</v>
      </c>
      <c r="R30" s="332">
        <f>'Färse(b)'!L38</f>
        <v>130.66666666666669</v>
      </c>
      <c r="S30" s="332">
        <f>'Färse(b)'!M38</f>
        <v>121.33333333333334</v>
      </c>
      <c r="T30" s="304"/>
      <c r="U30" s="2503"/>
    </row>
    <row r="31" spans="1:21" ht="48.2" customHeight="1" x14ac:dyDescent="0.2">
      <c r="A31" s="2503"/>
      <c r="B31" s="316"/>
      <c r="C31" s="313" t="s">
        <v>141</v>
      </c>
      <c r="D31" s="306"/>
      <c r="E31" s="306"/>
      <c r="F31" s="306"/>
      <c r="G31" s="306"/>
      <c r="H31" s="306"/>
      <c r="I31" s="306"/>
      <c r="J31" s="306"/>
      <c r="K31" s="306"/>
      <c r="L31" s="306"/>
      <c r="M31" s="306"/>
      <c r="N31" s="306"/>
      <c r="O31" s="316"/>
      <c r="P31" s="320"/>
      <c r="Q31" s="335">
        <f>Q27+Q28+Q29+Q30</f>
        <v>1135.2290833333334</v>
      </c>
      <c r="R31" s="335">
        <f>R27+R28+R29+R30</f>
        <v>1075.4978111111111</v>
      </c>
      <c r="S31" s="335">
        <f>S27+S28+S29+S30</f>
        <v>1013.9920388888889</v>
      </c>
      <c r="T31" s="320"/>
      <c r="U31" s="2503"/>
    </row>
    <row r="32" spans="1:21" ht="52.5" customHeight="1" x14ac:dyDescent="0.2">
      <c r="A32" s="2503"/>
      <c r="B32" s="315"/>
      <c r="C32" s="535" t="s">
        <v>147</v>
      </c>
      <c r="D32" s="331"/>
      <c r="E32" s="331"/>
      <c r="F32" s="331"/>
      <c r="G32" s="331"/>
      <c r="H32" s="331"/>
      <c r="I32" s="331"/>
      <c r="J32" s="331"/>
      <c r="K32" s="331"/>
      <c r="L32" s="331"/>
      <c r="M32" s="331"/>
      <c r="N32" s="331"/>
      <c r="O32" s="315"/>
      <c r="P32" s="317"/>
      <c r="Q32" s="541">
        <f>Q26-Q31</f>
        <v>-1130.770432521419</v>
      </c>
      <c r="R32" s="541">
        <f>R26-R31</f>
        <v>-946.54663140407115</v>
      </c>
      <c r="S32" s="541">
        <f>S26-S31</f>
        <v>-816.37064581316201</v>
      </c>
      <c r="T32" s="317"/>
      <c r="U32" s="2503"/>
    </row>
    <row r="33" spans="1:21" ht="23.25" customHeight="1" x14ac:dyDescent="0.2">
      <c r="A33" s="2503"/>
      <c r="B33" s="316"/>
      <c r="C33" s="537" t="s">
        <v>148</v>
      </c>
      <c r="D33" s="306"/>
      <c r="E33" s="306"/>
      <c r="F33" s="306"/>
      <c r="G33" s="306"/>
      <c r="H33" s="306"/>
      <c r="I33" s="306"/>
      <c r="J33" s="306"/>
      <c r="K33" s="306"/>
      <c r="L33" s="306"/>
      <c r="M33" s="306"/>
      <c r="N33" s="306"/>
      <c r="O33" s="316"/>
      <c r="P33" s="320"/>
      <c r="Q33" s="335"/>
      <c r="R33" s="335"/>
      <c r="S33" s="335"/>
      <c r="T33" s="320"/>
      <c r="U33" s="2503"/>
    </row>
    <row r="34" spans="1:21" ht="16.5" customHeight="1" x14ac:dyDescent="0.2">
      <c r="A34" s="2503"/>
      <c r="B34" s="303"/>
      <c r="C34" s="333"/>
      <c r="D34" s="303"/>
      <c r="E34" s="303"/>
      <c r="F34" s="303"/>
      <c r="G34" s="303"/>
      <c r="H34" s="303"/>
      <c r="I34" s="303"/>
      <c r="J34" s="303"/>
      <c r="K34" s="303"/>
      <c r="L34" s="303"/>
      <c r="M34" s="303"/>
      <c r="N34" s="303"/>
      <c r="O34" s="303"/>
      <c r="P34" s="303"/>
      <c r="Q34" s="334"/>
      <c r="R34" s="334"/>
      <c r="S34" s="334"/>
      <c r="T34" s="303"/>
      <c r="U34" s="2503"/>
    </row>
    <row r="35" spans="1:21" ht="16.5" customHeight="1" x14ac:dyDescent="0.2">
      <c r="A35" s="2503"/>
      <c r="B35" s="303"/>
      <c r="C35" s="333"/>
      <c r="D35" s="303"/>
      <c r="E35" s="303"/>
      <c r="F35" s="303"/>
      <c r="G35" s="303"/>
      <c r="H35" s="303"/>
      <c r="I35" s="303"/>
      <c r="J35" s="303"/>
      <c r="K35" s="303"/>
      <c r="L35" s="303"/>
      <c r="M35" s="303"/>
      <c r="N35" s="303"/>
      <c r="O35" s="303"/>
      <c r="P35" s="303"/>
      <c r="Q35" s="334"/>
      <c r="R35" s="334"/>
      <c r="S35" s="334"/>
      <c r="T35" s="303"/>
      <c r="U35" s="2503"/>
    </row>
    <row r="36" spans="1:21" ht="16.5" customHeight="1" x14ac:dyDescent="0.2">
      <c r="A36" s="2503"/>
      <c r="B36" s="303"/>
      <c r="C36" s="333"/>
      <c r="D36" s="303"/>
      <c r="E36" s="303"/>
      <c r="F36" s="303"/>
      <c r="G36" s="303"/>
      <c r="H36" s="303"/>
      <c r="I36" s="303"/>
      <c r="J36" s="303"/>
      <c r="K36" s="303"/>
      <c r="L36" s="303"/>
      <c r="M36" s="303"/>
      <c r="N36" s="303"/>
      <c r="O36" s="303"/>
      <c r="P36" s="303"/>
      <c r="Q36" s="334"/>
      <c r="R36" s="334"/>
      <c r="S36" s="334"/>
      <c r="T36" s="303"/>
      <c r="U36" s="2503"/>
    </row>
    <row r="37" spans="1:21" ht="13.7" customHeight="1" x14ac:dyDescent="0.2">
      <c r="A37" s="2503"/>
      <c r="C37" s="4"/>
      <c r="D37" s="4"/>
      <c r="E37" s="4"/>
      <c r="F37" s="4"/>
      <c r="G37" s="4"/>
      <c r="H37" s="4"/>
      <c r="I37" s="4"/>
      <c r="J37" s="4"/>
      <c r="K37" s="4"/>
      <c r="L37" s="4"/>
      <c r="M37" s="4"/>
      <c r="N37" s="4"/>
      <c r="O37" s="4"/>
      <c r="P37" s="4"/>
      <c r="Q37" s="4"/>
      <c r="R37" s="4"/>
      <c r="S37" s="4"/>
      <c r="U37" s="2503"/>
    </row>
    <row r="38" spans="1:21" ht="13.7" customHeight="1" x14ac:dyDescent="0.2">
      <c r="A38" s="2503"/>
      <c r="C38" s="4"/>
      <c r="D38" s="4"/>
      <c r="E38" s="4"/>
      <c r="F38" s="4"/>
      <c r="G38" s="4"/>
      <c r="H38" s="4"/>
      <c r="I38" s="4"/>
      <c r="J38" s="4"/>
      <c r="K38" s="4"/>
      <c r="L38" s="4"/>
      <c r="M38" s="4"/>
      <c r="N38" s="4"/>
      <c r="O38" s="4"/>
      <c r="P38" s="4"/>
      <c r="Q38" s="4"/>
      <c r="R38" s="4"/>
      <c r="S38" s="4"/>
      <c r="U38" s="2503"/>
    </row>
    <row r="39" spans="1:21" ht="32.25" customHeight="1" x14ac:dyDescent="0.2">
      <c r="A39" s="2503"/>
      <c r="U39" s="2503"/>
    </row>
    <row r="40" spans="1:21" ht="41.45" customHeight="1" x14ac:dyDescent="0.2">
      <c r="A40" s="2503"/>
      <c r="B40" s="3075"/>
      <c r="C40" s="3102" t="s">
        <v>154</v>
      </c>
      <c r="D40" s="3102" t="s">
        <v>862</v>
      </c>
      <c r="E40" s="3087"/>
      <c r="F40" s="3087"/>
      <c r="G40" s="3089"/>
      <c r="H40" s="3089"/>
      <c r="I40" s="3089"/>
      <c r="J40" s="3089"/>
      <c r="K40" s="3089"/>
      <c r="L40" s="3089"/>
      <c r="M40" s="3089"/>
      <c r="N40" s="3089"/>
      <c r="O40" s="3089"/>
      <c r="P40" s="3089"/>
      <c r="Q40" s="3077"/>
      <c r="R40" s="3091"/>
      <c r="S40" s="3092" t="str">
        <f>'Färse(b)'!M2</f>
        <v>Färsenaufzucht</v>
      </c>
      <c r="T40" s="3106"/>
      <c r="U40" s="2503"/>
    </row>
    <row r="41" spans="1:21" s="4" customFormat="1" ht="24.6" customHeight="1" x14ac:dyDescent="0.2">
      <c r="A41" s="2503"/>
      <c r="B41" s="3081"/>
      <c r="C41" s="3094" t="s">
        <v>95</v>
      </c>
      <c r="D41" s="3093" t="s">
        <v>156</v>
      </c>
      <c r="E41" s="3095"/>
      <c r="F41" s="3095"/>
      <c r="G41" s="3095"/>
      <c r="H41" s="3095"/>
      <c r="I41" s="3095"/>
      <c r="J41" s="3095"/>
      <c r="K41" s="3095"/>
      <c r="L41" s="3095"/>
      <c r="M41" s="3095"/>
      <c r="N41" s="3095"/>
      <c r="O41" s="3095"/>
      <c r="P41" s="3095"/>
      <c r="Q41" s="3096" t="str">
        <f>Q4</f>
        <v xml:space="preserve">  Kalenderjahr:</v>
      </c>
      <c r="R41" s="3095"/>
      <c r="S41" s="3095">
        <f>'Färse(b)'!M4</f>
        <v>2022</v>
      </c>
      <c r="T41" s="3107"/>
      <c r="U41" s="2503"/>
    </row>
    <row r="42" spans="1:21" ht="39.200000000000003" customHeight="1" x14ac:dyDescent="0.2">
      <c r="A42" s="2503"/>
      <c r="B42" s="323"/>
      <c r="C42" s="20"/>
      <c r="D42" s="20"/>
      <c r="E42" s="20"/>
      <c r="F42" s="20"/>
      <c r="G42" s="20"/>
      <c r="H42" s="20"/>
      <c r="I42" s="20"/>
      <c r="J42" s="20"/>
      <c r="K42" s="20"/>
      <c r="L42" s="20"/>
      <c r="M42" s="20"/>
      <c r="N42" s="20"/>
      <c r="O42" s="20"/>
      <c r="P42" s="20"/>
      <c r="Q42" s="20"/>
      <c r="R42" s="20"/>
      <c r="S42" s="20"/>
      <c r="T42" s="309"/>
      <c r="U42" s="2503"/>
    </row>
    <row r="43" spans="1:21" ht="30.2" customHeight="1" x14ac:dyDescent="0.2">
      <c r="A43" s="2503"/>
      <c r="B43" s="898"/>
      <c r="C43" s="899" t="s">
        <v>237</v>
      </c>
      <c r="D43" s="900"/>
      <c r="E43" s="900"/>
      <c r="F43" s="900"/>
      <c r="G43" s="900"/>
      <c r="H43" s="900"/>
      <c r="I43" s="900"/>
      <c r="J43" s="900"/>
      <c r="K43" s="900"/>
      <c r="L43" s="900"/>
      <c r="M43" s="900"/>
      <c r="N43" s="900"/>
      <c r="O43" s="898" t="s">
        <v>238</v>
      </c>
      <c r="P43" s="902"/>
      <c r="Q43" s="903">
        <f>'Färse(b)'!K7</f>
        <v>30</v>
      </c>
      <c r="R43" s="903">
        <f>'Färse(b)'!L7</f>
        <v>28</v>
      </c>
      <c r="S43" s="903">
        <f>'Färse(b)'!M7</f>
        <v>26</v>
      </c>
      <c r="T43" s="902"/>
      <c r="U43" s="2503"/>
    </row>
    <row r="44" spans="1:21" ht="38.25" customHeight="1" x14ac:dyDescent="0.2">
      <c r="A44" s="2503"/>
      <c r="B44" s="904"/>
      <c r="C44" s="911" t="str">
        <f>IF(Stammdaten!S7=1,"Färsenpreis (ohne Mwst.)","Färsenpreis  ( inkl. Mwst. )")</f>
        <v>Färsenpreis  ( inkl. Mwst. )</v>
      </c>
      <c r="D44" s="906"/>
      <c r="E44" s="906"/>
      <c r="F44" s="906"/>
      <c r="G44" s="906"/>
      <c r="H44" s="906"/>
      <c r="I44" s="906"/>
      <c r="J44" s="906"/>
      <c r="K44" s="906"/>
      <c r="L44" s="906"/>
      <c r="M44" s="906"/>
      <c r="N44" s="906"/>
      <c r="O44" s="904" t="s">
        <v>249</v>
      </c>
      <c r="P44" s="907"/>
      <c r="Q44" s="908">
        <f>'Färse(b)'!K9</f>
        <v>1971</v>
      </c>
      <c r="R44" s="908">
        <f>'Färse(b)'!L9</f>
        <v>1971</v>
      </c>
      <c r="S44" s="908">
        <f>'Färse(b)'!M9</f>
        <v>1971</v>
      </c>
      <c r="T44" s="907"/>
      <c r="U44" s="2503"/>
    </row>
    <row r="45" spans="1:21" s="359" customFormat="1" ht="75.2" customHeight="1" x14ac:dyDescent="0.2">
      <c r="A45" s="2503"/>
      <c r="B45" s="302"/>
      <c r="C45" s="333" t="s">
        <v>157</v>
      </c>
      <c r="D45" s="303"/>
      <c r="E45" s="3"/>
      <c r="F45" s="346" t="s">
        <v>158</v>
      </c>
      <c r="G45" s="303" t="s">
        <v>159</v>
      </c>
      <c r="H45"/>
      <c r="I45" s="303"/>
      <c r="J45" s="303"/>
      <c r="K45" s="303"/>
      <c r="L45" s="303"/>
      <c r="M45" s="303"/>
      <c r="N45" s="303"/>
      <c r="O45" s="302" t="s">
        <v>160</v>
      </c>
      <c r="P45" s="304"/>
      <c r="Q45" s="530">
        <f>'Färse(b)'!K45</f>
        <v>-14.998210727132159</v>
      </c>
      <c r="R45" s="530">
        <f>'Färse(b)'!L45</f>
        <v>-12.342167995395236</v>
      </c>
      <c r="S45" s="530">
        <f>'Färse(b)'!M45</f>
        <v>-10.302004486351521</v>
      </c>
      <c r="T45" s="304"/>
      <c r="U45" s="2503"/>
    </row>
    <row r="46" spans="1:21" ht="44.45" customHeight="1" x14ac:dyDescent="0.2">
      <c r="A46" s="2503"/>
      <c r="B46" s="355"/>
      <c r="C46" s="356" t="s">
        <v>244</v>
      </c>
      <c r="D46" s="15"/>
      <c r="E46" s="357"/>
      <c r="F46" s="357"/>
      <c r="G46" s="357"/>
      <c r="H46" s="357"/>
      <c r="I46" s="357"/>
      <c r="J46" s="357"/>
      <c r="K46" s="357"/>
      <c r="L46" s="357"/>
      <c r="M46" s="357"/>
      <c r="N46" s="357"/>
      <c r="O46" s="355"/>
      <c r="P46" s="358"/>
      <c r="Q46" s="357"/>
      <c r="R46" s="357"/>
      <c r="S46" s="357"/>
      <c r="T46" s="358"/>
      <c r="U46" s="2503"/>
    </row>
    <row r="47" spans="1:21" s="359" customFormat="1" ht="64.900000000000006" customHeight="1" x14ac:dyDescent="0.2">
      <c r="A47" s="2503"/>
      <c r="B47" s="302"/>
      <c r="C47" s="333" t="s">
        <v>161</v>
      </c>
      <c r="D47" s="303"/>
      <c r="E47" s="434"/>
      <c r="F47" s="346" t="s">
        <v>158</v>
      </c>
      <c r="G47" s="303" t="s">
        <v>162</v>
      </c>
      <c r="H47"/>
      <c r="I47" s="333"/>
      <c r="J47" s="303"/>
      <c r="K47" s="303"/>
      <c r="L47" s="303"/>
      <c r="M47" s="303"/>
      <c r="N47" s="303"/>
      <c r="O47" s="302" t="s">
        <v>527</v>
      </c>
      <c r="P47" s="304"/>
      <c r="Q47" s="334">
        <f>'Färse(b)'!K46</f>
        <v>-267.88296467523418</v>
      </c>
      <c r="R47" s="334">
        <f>'Färse(b)'!L46</f>
        <v>-221.23763369698287</v>
      </c>
      <c r="S47" s="334">
        <f>'Färse(b)'!M46</f>
        <v>-192.36124358043389</v>
      </c>
      <c r="T47" s="304"/>
      <c r="U47" s="2503"/>
    </row>
    <row r="48" spans="1:21" ht="42" customHeight="1" x14ac:dyDescent="0.2">
      <c r="A48" s="2503"/>
      <c r="B48" s="355"/>
      <c r="C48" s="356" t="s">
        <v>171</v>
      </c>
      <c r="D48" s="15"/>
      <c r="E48" s="357"/>
      <c r="F48" s="357"/>
      <c r="G48" s="357"/>
      <c r="H48" s="357"/>
      <c r="I48" s="357"/>
      <c r="J48" s="357"/>
      <c r="K48" s="357"/>
      <c r="L48" s="357"/>
      <c r="M48" s="357"/>
      <c r="N48" s="357"/>
      <c r="O48" s="355"/>
      <c r="P48" s="358"/>
      <c r="Q48" s="357"/>
      <c r="R48" s="357"/>
      <c r="S48" s="357"/>
      <c r="T48" s="358"/>
      <c r="U48" s="2503"/>
    </row>
    <row r="49" spans="1:21" ht="45.75" customHeight="1" x14ac:dyDescent="0.2">
      <c r="A49" s="2503"/>
      <c r="B49" s="315"/>
      <c r="C49" s="538" t="s">
        <v>165</v>
      </c>
      <c r="D49" s="331"/>
      <c r="E49" s="331"/>
      <c r="F49" s="331"/>
      <c r="G49" s="331"/>
      <c r="H49" s="331"/>
      <c r="I49" s="331"/>
      <c r="J49" s="331"/>
      <c r="K49" s="331"/>
      <c r="L49" s="331"/>
      <c r="M49" s="331"/>
      <c r="N49" s="3139" t="s">
        <v>1064</v>
      </c>
      <c r="O49" s="348"/>
      <c r="P49" s="317"/>
      <c r="Q49" s="3141">
        <f>'Färse(b)'!K54</f>
        <v>2832.6670616633965</v>
      </c>
      <c r="R49" s="3141">
        <f>'Färse(b)'!L54</f>
        <v>2664.4261474009782</v>
      </c>
      <c r="S49" s="3141">
        <f>'Färse(b)'!M54</f>
        <v>2545.5439687791436</v>
      </c>
      <c r="T49" s="317"/>
      <c r="U49" s="2503"/>
    </row>
    <row r="50" spans="1:21" ht="33" customHeight="1" x14ac:dyDescent="0.2">
      <c r="A50" s="2503"/>
      <c r="B50" s="316"/>
      <c r="C50" s="347" t="s">
        <v>168</v>
      </c>
      <c r="D50" s="306"/>
      <c r="E50" s="306"/>
      <c r="F50" s="306"/>
      <c r="G50" s="306"/>
      <c r="H50" s="306"/>
      <c r="I50" s="306"/>
      <c r="J50" s="306"/>
      <c r="K50" s="306"/>
      <c r="L50" s="306"/>
      <c r="M50" s="306"/>
      <c r="N50" s="3811" t="str">
        <f>IF(Stammdaten!S7=1,"","mit Mwst.")</f>
        <v>mit Mwst.</v>
      </c>
      <c r="O50" s="316" t="s">
        <v>99</v>
      </c>
      <c r="P50" s="320"/>
      <c r="Q50" s="335">
        <f>'Färse(b)'!K55</f>
        <v>3101.770432521419</v>
      </c>
      <c r="R50" s="335">
        <f>'Färse(b)'!L55</f>
        <v>2917.5466314040709</v>
      </c>
      <c r="S50" s="335">
        <f>'Färse(b)'!M55</f>
        <v>2787.3706458131624</v>
      </c>
      <c r="T50" s="320"/>
      <c r="U50" s="2503"/>
    </row>
    <row r="51" spans="1:21" ht="33" customHeight="1" x14ac:dyDescent="0.2">
      <c r="A51" s="2503"/>
      <c r="B51" s="303"/>
      <c r="C51" s="321"/>
      <c r="D51" s="303"/>
      <c r="E51" s="303"/>
      <c r="F51" s="303"/>
      <c r="G51" s="303"/>
      <c r="H51" s="303"/>
      <c r="I51" s="303"/>
      <c r="J51" s="303"/>
      <c r="K51" s="303"/>
      <c r="L51" s="303"/>
      <c r="M51" s="303"/>
      <c r="N51" s="303"/>
      <c r="O51" s="303"/>
      <c r="P51" s="303"/>
      <c r="Q51" s="686"/>
      <c r="R51" s="686"/>
      <c r="S51" s="686"/>
      <c r="T51" s="303"/>
      <c r="U51" s="2503"/>
    </row>
    <row r="52" spans="1:21" ht="33" customHeight="1" x14ac:dyDescent="0.2">
      <c r="A52" s="2503"/>
      <c r="B52" s="303"/>
      <c r="C52" s="321"/>
      <c r="D52" s="303"/>
      <c r="E52" s="303"/>
      <c r="F52" s="303"/>
      <c r="G52" s="303"/>
      <c r="H52" s="303"/>
      <c r="I52" s="303"/>
      <c r="J52" s="303"/>
      <c r="K52" s="303"/>
      <c r="L52" s="303"/>
      <c r="M52" s="303"/>
      <c r="N52" s="303"/>
      <c r="O52" s="303"/>
      <c r="P52" s="303"/>
      <c r="Q52" s="686"/>
      <c r="R52" s="686"/>
      <c r="S52" s="686"/>
      <c r="T52" s="303"/>
      <c r="U52" s="2503"/>
    </row>
    <row r="53" spans="1:21" ht="4.1500000000000004" customHeight="1" x14ac:dyDescent="0.2">
      <c r="A53" s="2503"/>
      <c r="U53" s="2503"/>
    </row>
    <row r="54" spans="1:21" ht="32.25" customHeight="1" x14ac:dyDescent="0.2">
      <c r="A54" s="2503"/>
      <c r="B54" s="3075"/>
      <c r="C54" s="3102" t="s">
        <v>154</v>
      </c>
      <c r="D54" s="3102" t="s">
        <v>862</v>
      </c>
      <c r="E54" s="3089"/>
      <c r="F54" s="3089"/>
      <c r="G54" s="3089"/>
      <c r="H54" s="3089"/>
      <c r="I54" s="3089"/>
      <c r="J54" s="3089"/>
      <c r="K54" s="3089"/>
      <c r="L54" s="3089"/>
      <c r="M54" s="3089"/>
      <c r="N54" s="3089"/>
      <c r="O54" s="3089"/>
      <c r="P54" s="3089"/>
      <c r="Q54" s="3077"/>
      <c r="R54" s="3091"/>
      <c r="S54" s="3092" t="str">
        <f>'Färse(b)'!M2</f>
        <v>Färsenaufzucht</v>
      </c>
      <c r="T54" s="3106"/>
      <c r="U54" s="2503"/>
    </row>
    <row r="55" spans="1:21" ht="27" customHeight="1" x14ac:dyDescent="0.2">
      <c r="A55" s="2503"/>
      <c r="B55" s="3081"/>
      <c r="C55" s="3094" t="s">
        <v>149</v>
      </c>
      <c r="D55" s="3093" t="s">
        <v>169</v>
      </c>
      <c r="E55" s="3095"/>
      <c r="F55" s="3095"/>
      <c r="G55" s="3095"/>
      <c r="H55" s="3095"/>
      <c r="I55" s="3095"/>
      <c r="J55" s="3095"/>
      <c r="K55" s="3095"/>
      <c r="L55" s="3095"/>
      <c r="M55" s="3095"/>
      <c r="N55" s="3095"/>
      <c r="O55" s="3095"/>
      <c r="P55" s="3095"/>
      <c r="Q55" s="3096" t="str">
        <f>Q4</f>
        <v xml:space="preserve">  Kalenderjahr:</v>
      </c>
      <c r="R55" s="3095"/>
      <c r="S55" s="3095">
        <f>'Färse(b)'!M4</f>
        <v>2022</v>
      </c>
      <c r="T55" s="3107"/>
      <c r="U55" s="2503"/>
    </row>
    <row r="56" spans="1:21" ht="27" customHeight="1" x14ac:dyDescent="0.2">
      <c r="A56" s="2503"/>
      <c r="B56" s="3081"/>
      <c r="C56" s="3095"/>
      <c r="D56" s="3103" t="s">
        <v>798</v>
      </c>
      <c r="E56" s="3095"/>
      <c r="F56" s="3095"/>
      <c r="G56" s="3095"/>
      <c r="H56" s="3095"/>
      <c r="I56" s="3095"/>
      <c r="J56" s="3095"/>
      <c r="K56" s="3095"/>
      <c r="L56" s="3095"/>
      <c r="M56" s="3095"/>
      <c r="N56" s="3095"/>
      <c r="O56" s="3095"/>
      <c r="P56" s="3095"/>
      <c r="Q56" s="3095"/>
      <c r="R56" s="3095"/>
      <c r="S56" s="3095"/>
      <c r="T56" s="3107"/>
      <c r="U56" s="2503"/>
    </row>
    <row r="57" spans="1:21" s="4" customFormat="1" ht="12.75" x14ac:dyDescent="0.2">
      <c r="A57" s="2503"/>
      <c r="B57" s="101"/>
      <c r="C57" s="3"/>
      <c r="D57" s="3"/>
      <c r="E57" s="3"/>
      <c r="F57" s="3"/>
      <c r="G57" s="3"/>
      <c r="H57" s="3"/>
      <c r="I57" s="3"/>
      <c r="J57" s="3"/>
      <c r="K57" s="3"/>
      <c r="L57" s="3"/>
      <c r="M57" s="3"/>
      <c r="N57" s="3"/>
      <c r="O57" s="3"/>
      <c r="P57" s="3"/>
      <c r="Q57" s="3"/>
      <c r="R57" s="3"/>
      <c r="S57" s="3"/>
      <c r="T57" s="349"/>
      <c r="U57" s="2503"/>
    </row>
    <row r="58" spans="1:21" ht="37.9" customHeight="1" x14ac:dyDescent="0.2">
      <c r="A58" s="2503"/>
      <c r="B58" s="898"/>
      <c r="C58" s="899" t="s">
        <v>237</v>
      </c>
      <c r="D58" s="900"/>
      <c r="E58" s="900"/>
      <c r="F58" s="900"/>
      <c r="G58" s="900"/>
      <c r="H58" s="900"/>
      <c r="I58" s="900"/>
      <c r="J58" s="900"/>
      <c r="K58" s="900"/>
      <c r="L58" s="900"/>
      <c r="M58" s="900"/>
      <c r="N58" s="900"/>
      <c r="O58" s="898" t="s">
        <v>238</v>
      </c>
      <c r="P58" s="902"/>
      <c r="Q58" s="903">
        <f>'Färse(b)'!K7</f>
        <v>30</v>
      </c>
      <c r="R58" s="903">
        <f>'Färse(b)'!L7</f>
        <v>28</v>
      </c>
      <c r="S58" s="903">
        <f>'Färse(b)'!M7</f>
        <v>26</v>
      </c>
      <c r="T58" s="902"/>
      <c r="U58" s="2503"/>
    </row>
    <row r="59" spans="1:21" ht="35.450000000000003" customHeight="1" x14ac:dyDescent="0.2">
      <c r="A59" s="2503"/>
      <c r="B59" s="904"/>
      <c r="C59" s="911" t="str">
        <f>IF(Stammdaten!S7=1,"Färsenpreis (ohne Mwst.)","Färsenpreis  ( inkl. Mwst. )")</f>
        <v>Färsenpreis  ( inkl. Mwst. )</v>
      </c>
      <c r="D59" s="906"/>
      <c r="E59" s="906"/>
      <c r="F59" s="906"/>
      <c r="G59" s="906"/>
      <c r="H59" s="906"/>
      <c r="I59" s="906"/>
      <c r="J59" s="906"/>
      <c r="K59" s="906"/>
      <c r="L59" s="906"/>
      <c r="M59" s="906"/>
      <c r="N59" s="906"/>
      <c r="O59" s="904" t="s">
        <v>249</v>
      </c>
      <c r="P59" s="907"/>
      <c r="Q59" s="908">
        <f>'Färse(b)'!K9</f>
        <v>1971</v>
      </c>
      <c r="R59" s="908">
        <f>'Färse(b)'!L9</f>
        <v>1971</v>
      </c>
      <c r="S59" s="908">
        <f>'Färse(b)'!M9</f>
        <v>1971</v>
      </c>
      <c r="T59" s="907"/>
      <c r="U59" s="2503"/>
    </row>
    <row r="60" spans="1:21" ht="51" customHeight="1" x14ac:dyDescent="0.2">
      <c r="A60" s="2503"/>
      <c r="B60" s="315"/>
      <c r="C60" s="331"/>
      <c r="D60" s="331"/>
      <c r="E60" s="331"/>
      <c r="F60" s="331"/>
      <c r="G60" s="331"/>
      <c r="H60" s="331"/>
      <c r="I60" s="331"/>
      <c r="J60" s="331"/>
      <c r="K60" s="331"/>
      <c r="L60" s="331"/>
      <c r="M60" s="331"/>
      <c r="N60" s="331"/>
      <c r="O60" s="315"/>
      <c r="P60" s="317"/>
      <c r="Q60" s="331"/>
      <c r="R60" s="331"/>
      <c r="S60" s="331"/>
      <c r="T60" s="317"/>
      <c r="U60" s="2503"/>
    </row>
    <row r="61" spans="1:21" ht="38.25" customHeight="1" x14ac:dyDescent="0.2">
      <c r="A61" s="2503"/>
      <c r="B61" s="302"/>
      <c r="C61" s="333" t="s">
        <v>157</v>
      </c>
      <c r="D61" s="303"/>
      <c r="E61" s="3"/>
      <c r="F61" s="350" t="s">
        <v>158</v>
      </c>
      <c r="G61" s="303" t="s">
        <v>159</v>
      </c>
      <c r="H61"/>
      <c r="I61" s="303"/>
      <c r="J61" s="303"/>
      <c r="K61" s="303"/>
      <c r="L61" s="303"/>
      <c r="M61" s="303"/>
      <c r="N61" s="303"/>
      <c r="O61" s="302" t="s">
        <v>160</v>
      </c>
      <c r="P61" s="304"/>
      <c r="Q61" s="530">
        <f>('Färse(b)'!K41+'Färse(b)'!K34+'Färse(a)'!M53+'Färse(b)'!K35+'Färse(b)'!K36)/('Färse(b)'!K32+'Färse(a)'!L53)</f>
        <v>-1.7473131279450931</v>
      </c>
      <c r="R61" s="530">
        <f>('Färse(b)'!L41+'Färse(b)'!L34+'Färse(a)'!O53+'Färse(b)'!L35+'Färse(b)'!L36)/('Färse(b)'!L32+'Färse(a)'!N53)</f>
        <v>1.2248819767533021</v>
      </c>
      <c r="S61" s="530">
        <f>('Färse(b)'!M41+'Färse(b)'!M34+'Färse(a)'!Q53+'Färse(b)'!M35+'Färse(b)'!M36)/('Färse(b)'!M32+'Färse(a)'!P53)</f>
        <v>3.306208981613409</v>
      </c>
      <c r="T61" s="304"/>
      <c r="U61" s="2503"/>
    </row>
    <row r="62" spans="1:21" s="359" customFormat="1" ht="38.25" customHeight="1" x14ac:dyDescent="0.2">
      <c r="A62" s="2503"/>
      <c r="B62" s="355"/>
      <c r="C62" s="356" t="s">
        <v>245</v>
      </c>
      <c r="D62" s="15"/>
      <c r="E62" s="357"/>
      <c r="F62" s="357"/>
      <c r="G62" s="357"/>
      <c r="H62" s="357"/>
      <c r="I62" s="357"/>
      <c r="J62" s="357"/>
      <c r="K62" s="357"/>
      <c r="L62" s="357"/>
      <c r="M62" s="357"/>
      <c r="N62" s="357"/>
      <c r="O62" s="355"/>
      <c r="P62" s="358"/>
      <c r="Q62" s="357"/>
      <c r="R62" s="357"/>
      <c r="S62" s="357"/>
      <c r="T62" s="358"/>
      <c r="U62" s="2503"/>
    </row>
    <row r="63" spans="1:21" s="4" customFormat="1" ht="44.45" customHeight="1" x14ac:dyDescent="0.35">
      <c r="A63" s="2503"/>
      <c r="B63" s="348"/>
      <c r="C63" s="351" t="str">
        <f>IF(Stammdaten!S7=1,"Kostendeckender Erlös (ohne Mwst.)","Kostendeckender Erlös (einschl. Mwst.)")</f>
        <v>Kostendeckender Erlös (einschl. Mwst.)</v>
      </c>
      <c r="D63" s="331"/>
      <c r="E63" s="331"/>
      <c r="F63" s="331"/>
      <c r="G63" s="331"/>
      <c r="H63" s="331"/>
      <c r="I63" s="331"/>
      <c r="J63" s="331"/>
      <c r="K63" s="331"/>
      <c r="L63" s="331"/>
      <c r="M63" s="331"/>
      <c r="N63" s="331"/>
      <c r="O63" s="348"/>
      <c r="P63" s="317"/>
      <c r="Q63" s="331"/>
      <c r="R63" s="331"/>
      <c r="S63" s="331"/>
      <c r="T63" s="345"/>
      <c r="U63" s="2503"/>
    </row>
    <row r="64" spans="1:21" s="4" customFormat="1" ht="33" customHeight="1" x14ac:dyDescent="0.2">
      <c r="A64" s="2503"/>
      <c r="B64" s="323"/>
      <c r="C64" s="347" t="s">
        <v>172</v>
      </c>
      <c r="D64" s="306"/>
      <c r="E64" s="306"/>
      <c r="F64" s="306"/>
      <c r="G64" s="306"/>
      <c r="H64" s="306"/>
      <c r="I64" s="306"/>
      <c r="J64" s="306"/>
      <c r="K64" s="306"/>
      <c r="L64" s="306"/>
      <c r="M64" s="306"/>
      <c r="N64" s="306"/>
      <c r="O64" s="316" t="s">
        <v>250</v>
      </c>
      <c r="P64" s="320"/>
      <c r="Q64" s="335">
        <f>IF(Stammdaten!$S$7=1,'Färse(b)'!K54-'Färse(b)'!K35-'Färse(b)'!K36,'Färse(b)'!K55-'Färse(b)'!K35-'Färse(b)'!K36)</f>
        <v>2640.7074116880858</v>
      </c>
      <c r="R64" s="335">
        <f>IF(Stammdaten!$S$7=1,'Färse(b)'!L54-'Färse(b)'!L35-'Färse(b)'!L36,'Färse(b)'!L55-'Färse(b)'!L35-'Färse(b)'!L36)</f>
        <v>2487.2211452929596</v>
      </c>
      <c r="S64" s="335">
        <f>IF(Stammdaten!$S$7=1,'Färse(b)'!M54-'Färse(b)'!M35-'Färse(b)'!M36,'Färse(b)'!M55-'Färse(b)'!M35-'Färse(b)'!M36)</f>
        <v>2387.7826944242734</v>
      </c>
      <c r="T64" s="309"/>
      <c r="U64" s="2503"/>
    </row>
    <row r="65" spans="1:21" s="4" customFormat="1" ht="12.75" x14ac:dyDescent="0.2">
      <c r="A65" s="2503"/>
      <c r="B65" s="2503"/>
      <c r="C65" s="2503"/>
      <c r="D65" s="2503"/>
      <c r="E65" s="2503"/>
      <c r="F65" s="2503"/>
      <c r="G65" s="2503"/>
      <c r="H65" s="2503"/>
      <c r="I65" s="2503"/>
      <c r="J65" s="2503"/>
      <c r="K65" s="2503"/>
      <c r="L65" s="2503"/>
      <c r="M65" s="2503"/>
      <c r="N65" s="2503"/>
      <c r="O65" s="2503"/>
      <c r="P65" s="2503"/>
      <c r="Q65" s="2503"/>
      <c r="R65" s="2503"/>
      <c r="S65" s="2503"/>
      <c r="T65" s="2503"/>
      <c r="U65" s="2503"/>
    </row>
    <row r="66" spans="1:21" s="4" customFormat="1" ht="12.75" x14ac:dyDescent="0.2"/>
    <row r="67" spans="1:21" s="4" customFormat="1" ht="12.75" x14ac:dyDescent="0.2"/>
    <row r="68" spans="1:21" s="4" customFormat="1" ht="12.75" x14ac:dyDescent="0.2"/>
    <row r="69" spans="1:21" s="4" customFormat="1" ht="12.75" x14ac:dyDescent="0.2"/>
    <row r="70" spans="1:21" s="4" customFormat="1" ht="12.75" x14ac:dyDescent="0.2"/>
    <row r="71" spans="1:21" s="4" customFormat="1" ht="12.75" x14ac:dyDescent="0.2"/>
    <row r="72" spans="1:21" s="4" customFormat="1" ht="12.75" x14ac:dyDescent="0.2"/>
    <row r="73" spans="1:21" s="4" customFormat="1" ht="12.75" x14ac:dyDescent="0.2"/>
    <row r="74" spans="1:21" s="4" customFormat="1" ht="12.75" x14ac:dyDescent="0.2"/>
    <row r="75" spans="1:21" s="4" customFormat="1" ht="12.75" x14ac:dyDescent="0.2"/>
    <row r="76" spans="1:21" s="4" customFormat="1" ht="12.75" x14ac:dyDescent="0.2"/>
    <row r="77" spans="1:21" s="4" customFormat="1" ht="12.75" x14ac:dyDescent="0.2"/>
    <row r="78" spans="1:21" s="4" customFormat="1" ht="12.75" x14ac:dyDescent="0.2"/>
    <row r="79" spans="1:21" s="4" customFormat="1" ht="12.75" x14ac:dyDescent="0.2"/>
    <row r="80" spans="1:21" s="4" customFormat="1" ht="12.75" x14ac:dyDescent="0.2"/>
    <row r="81" s="4" customFormat="1" ht="12.75" x14ac:dyDescent="0.2"/>
    <row r="82" s="4" customFormat="1" ht="12.75" x14ac:dyDescent="0.2"/>
    <row r="83" s="4" customFormat="1" ht="12.75" x14ac:dyDescent="0.2"/>
    <row r="84" s="4" customFormat="1" ht="12.75" x14ac:dyDescent="0.2"/>
    <row r="85" s="4" customFormat="1" ht="12.75" x14ac:dyDescent="0.2"/>
    <row r="86" s="4" customFormat="1" ht="12.75" x14ac:dyDescent="0.2"/>
    <row r="87" s="4" customFormat="1" ht="12.75" x14ac:dyDescent="0.2"/>
    <row r="88" s="4" customFormat="1" ht="12.75" x14ac:dyDescent="0.2"/>
    <row r="89" s="4" customFormat="1" ht="12.75" x14ac:dyDescent="0.2"/>
    <row r="90" s="4" customFormat="1" ht="12.75" x14ac:dyDescent="0.2"/>
    <row r="91" s="4" customFormat="1" ht="12.75" x14ac:dyDescent="0.2"/>
    <row r="92" s="4" customFormat="1" ht="12.75" x14ac:dyDescent="0.2"/>
    <row r="93" s="4" customFormat="1" ht="12.75" x14ac:dyDescent="0.2"/>
    <row r="94" s="4" customFormat="1" ht="12.75" x14ac:dyDescent="0.2"/>
    <row r="95" s="4" customFormat="1" ht="12.75" x14ac:dyDescent="0.2"/>
    <row r="96" s="4" customFormat="1" ht="12.75" x14ac:dyDescent="0.2"/>
    <row r="97" s="4" customFormat="1" ht="12.75" x14ac:dyDescent="0.2"/>
    <row r="98" s="4" customFormat="1" ht="12.75" x14ac:dyDescent="0.2"/>
    <row r="99" s="4" customFormat="1" ht="12.75" x14ac:dyDescent="0.2"/>
    <row r="100" s="4" customFormat="1" ht="12.75" x14ac:dyDescent="0.2"/>
    <row r="101" s="4" customFormat="1" ht="12.75" x14ac:dyDescent="0.2"/>
    <row r="102" s="4" customFormat="1" ht="12.75" x14ac:dyDescent="0.2"/>
    <row r="103" s="4" customFormat="1" ht="12.75" x14ac:dyDescent="0.2"/>
    <row r="104" s="4" customFormat="1" ht="12.75" x14ac:dyDescent="0.2"/>
    <row r="105" s="4" customFormat="1" ht="12.75" x14ac:dyDescent="0.2"/>
    <row r="106" s="4" customFormat="1" ht="12.75" x14ac:dyDescent="0.2"/>
    <row r="107" s="4" customFormat="1" ht="12.75" x14ac:dyDescent="0.2"/>
    <row r="108" s="4" customFormat="1" ht="12.75" x14ac:dyDescent="0.2"/>
    <row r="109" s="4" customFormat="1" ht="12.75" x14ac:dyDescent="0.2"/>
    <row r="110" s="4" customFormat="1" ht="12.75" x14ac:dyDescent="0.2"/>
    <row r="111" s="4" customFormat="1" ht="12.75" x14ac:dyDescent="0.2"/>
    <row r="112" s="4" customFormat="1" ht="12.75" x14ac:dyDescent="0.2"/>
    <row r="113" s="4" customFormat="1" ht="12.75" x14ac:dyDescent="0.2"/>
    <row r="114" s="4" customFormat="1" ht="12.75" x14ac:dyDescent="0.2"/>
    <row r="115" s="4" customFormat="1" ht="12.75" x14ac:dyDescent="0.2"/>
    <row r="116" s="4" customFormat="1" ht="12.75" x14ac:dyDescent="0.2"/>
    <row r="117" s="4" customFormat="1" ht="12.75" x14ac:dyDescent="0.2"/>
    <row r="118" s="4" customFormat="1" ht="12.75" x14ac:dyDescent="0.2"/>
  </sheetData>
  <sheetProtection sheet="1" objects="1" scenarios="1"/>
  <phoneticPr fontId="0" type="noConversion"/>
  <printOptions horizontalCentered="1" verticalCentered="1"/>
  <pageMargins left="0.78740157480314965" right="0.78740157480314965" top="0.59055118110236227" bottom="0.86614173228346458" header="0.47244094488188981" footer="0.39370078740157483"/>
  <pageSetup paperSize="9" scale="93" firstPageNumber="41" orientation="landscape" useFirstPageNumber="1" verticalDpi="300" r:id="rId1"/>
  <headerFooter alignWithMargins="0">
    <oddFooter>&amp;LLEL Schwäb. Gmünd;
&amp;D&amp;C&amp;"Arial,Fett"&amp;12&amp;P&amp;RKalkulationsdaten Milchviehhaltung;
&amp;F  &amp;A</oddFooter>
  </headerFooter>
  <rowBreaks count="5" manualBreakCount="5">
    <brk id="18" min="1" max="19" man="1"/>
    <brk id="36" min="1" max="19" man="1"/>
    <brk id="50" max="16383" man="1"/>
    <brk id="68" max="65535" man="1"/>
    <brk id="82" max="65535" man="1"/>
  </rowBreaks>
  <colBreaks count="1" manualBreakCount="1">
    <brk id="20" max="1048575" man="1"/>
  </col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9">
    <tabColor rgb="FF00B050"/>
  </sheetPr>
  <dimension ref="A1:BE172"/>
  <sheetViews>
    <sheetView showGridLines="0" zoomScaleNormal="100" workbookViewId="0"/>
  </sheetViews>
  <sheetFormatPr baseColWidth="10" defaultRowHeight="12.75" x14ac:dyDescent="0.2"/>
  <cols>
    <col min="1" max="1" width="1.7109375" customWidth="1"/>
    <col min="2" max="2" width="16.7109375" customWidth="1"/>
    <col min="3" max="8" width="9.7109375" customWidth="1"/>
    <col min="9" max="9" width="15.140625" customWidth="1"/>
    <col min="10" max="10" width="2.28515625" customWidth="1"/>
    <col min="11" max="13" width="8.85546875" customWidth="1"/>
    <col min="14" max="14" width="10.85546875" customWidth="1"/>
    <col min="15" max="15" width="12.140625" customWidth="1"/>
    <col min="16" max="16" width="11.28515625" customWidth="1"/>
    <col min="17" max="17" width="8.85546875" customWidth="1"/>
    <col min="18" max="18" width="14.140625" customWidth="1"/>
    <col min="19" max="28" width="8.85546875" customWidth="1"/>
  </cols>
  <sheetData>
    <row r="1" spans="1:57" x14ac:dyDescent="0.2">
      <c r="A1" s="2503"/>
      <c r="B1" s="2503"/>
      <c r="C1" s="2503"/>
      <c r="D1" s="2503"/>
      <c r="E1" s="2503"/>
      <c r="F1" s="2503"/>
      <c r="G1" s="2503"/>
      <c r="H1" s="2503"/>
      <c r="I1" s="2503"/>
      <c r="J1" s="2503"/>
    </row>
    <row r="2" spans="1:57" x14ac:dyDescent="0.2">
      <c r="A2" s="2503"/>
      <c r="J2" s="2503"/>
    </row>
    <row r="3" spans="1:57" x14ac:dyDescent="0.2">
      <c r="A3" s="2503"/>
      <c r="C3" s="2172"/>
      <c r="J3" s="2503"/>
      <c r="N3" s="1573" t="s">
        <v>1057</v>
      </c>
      <c r="O3" s="1573" t="s">
        <v>613</v>
      </c>
      <c r="P3" s="4036" t="s">
        <v>614</v>
      </c>
      <c r="Q3" s="4037"/>
      <c r="BE3" s="2060">
        <v>5</v>
      </c>
    </row>
    <row r="4" spans="1:57" x14ac:dyDescent="0.2">
      <c r="A4" s="2503"/>
      <c r="J4" s="2503"/>
      <c r="N4" s="3787">
        <v>1973</v>
      </c>
      <c r="O4" s="1572">
        <v>715.26300000000003</v>
      </c>
      <c r="P4" s="1572">
        <v>3460.7633835386423</v>
      </c>
      <c r="Q4" s="3784"/>
      <c r="W4" s="3012"/>
      <c r="BA4">
        <v>1973</v>
      </c>
      <c r="BB4">
        <v>715.26300000000003</v>
      </c>
      <c r="BC4">
        <v>3460.7633835386423</v>
      </c>
    </row>
    <row r="5" spans="1:57" x14ac:dyDescent="0.2">
      <c r="A5" s="2503"/>
      <c r="J5" s="2503"/>
      <c r="N5" s="3787">
        <v>74</v>
      </c>
      <c r="O5" s="1572">
        <v>708.70799999999997</v>
      </c>
      <c r="P5" s="1572">
        <v>3536.0218877168031</v>
      </c>
      <c r="Q5" s="3785"/>
      <c r="W5" s="3012"/>
      <c r="BA5">
        <v>74</v>
      </c>
      <c r="BB5">
        <v>708.70799999999997</v>
      </c>
      <c r="BC5">
        <v>3536.0218877168031</v>
      </c>
    </row>
    <row r="6" spans="1:57" x14ac:dyDescent="0.2">
      <c r="A6" s="2503"/>
      <c r="J6" s="2503"/>
      <c r="N6" s="3787">
        <v>75</v>
      </c>
      <c r="O6" s="1572">
        <v>700.31</v>
      </c>
      <c r="P6" s="1572">
        <v>3598.4464023075493</v>
      </c>
      <c r="Q6" s="3785"/>
      <c r="W6" s="3012"/>
      <c r="BA6">
        <v>75</v>
      </c>
      <c r="BB6">
        <v>700.31</v>
      </c>
      <c r="BC6">
        <v>3598.4464023075493</v>
      </c>
    </row>
    <row r="7" spans="1:57" x14ac:dyDescent="0.2">
      <c r="A7" s="2503"/>
      <c r="J7" s="2503"/>
      <c r="N7" s="3787">
        <v>76</v>
      </c>
      <c r="O7" s="1572">
        <v>698.22500000000002</v>
      </c>
      <c r="P7" s="1572">
        <v>3682.8772960005731</v>
      </c>
      <c r="Q7" s="3785"/>
      <c r="W7" s="3012"/>
      <c r="BA7">
        <v>76</v>
      </c>
      <c r="BB7">
        <v>698.22500000000002</v>
      </c>
      <c r="BC7">
        <v>3682.8772960005731</v>
      </c>
    </row>
    <row r="8" spans="1:57" x14ac:dyDescent="0.2">
      <c r="A8" s="2503"/>
      <c r="J8" s="2503"/>
      <c r="N8" s="3787">
        <v>77</v>
      </c>
      <c r="O8" s="1572">
        <v>694.12300000000005</v>
      </c>
      <c r="P8" s="1572">
        <v>3771.0348165959058</v>
      </c>
      <c r="Q8" s="3785"/>
      <c r="W8" s="3012"/>
      <c r="BA8">
        <v>77</v>
      </c>
      <c r="BB8">
        <v>694.12300000000005</v>
      </c>
      <c r="BC8">
        <v>3771.0348165959058</v>
      </c>
    </row>
    <row r="9" spans="1:57" ht="16.5" x14ac:dyDescent="0.25">
      <c r="A9" s="2503"/>
      <c r="J9" s="2503"/>
      <c r="N9" s="3787">
        <v>78</v>
      </c>
      <c r="O9" s="1572">
        <v>695.37300000000005</v>
      </c>
      <c r="P9" s="1572">
        <v>3837.9502799217112</v>
      </c>
      <c r="Q9" s="3785"/>
      <c r="S9" s="1525" t="s">
        <v>1483</v>
      </c>
      <c r="W9" s="3012"/>
      <c r="BA9">
        <v>78</v>
      </c>
      <c r="BB9">
        <v>695.37300000000005</v>
      </c>
      <c r="BC9">
        <v>3837.9502799217112</v>
      </c>
    </row>
    <row r="10" spans="1:57" x14ac:dyDescent="0.2">
      <c r="A10" s="2503"/>
      <c r="J10" s="2503"/>
      <c r="N10" s="3787">
        <v>79</v>
      </c>
      <c r="O10" s="1572">
        <v>695.01099999999997</v>
      </c>
      <c r="P10" s="1572">
        <v>3907.319452497874</v>
      </c>
      <c r="Q10" s="3785"/>
      <c r="W10" s="3012"/>
      <c r="BA10">
        <v>79</v>
      </c>
      <c r="BB10">
        <v>695.01099999999997</v>
      </c>
      <c r="BC10">
        <v>3907.319452497874</v>
      </c>
    </row>
    <row r="11" spans="1:57" x14ac:dyDescent="0.2">
      <c r="A11" s="2503"/>
      <c r="J11" s="2503"/>
      <c r="N11" s="3787">
        <v>80</v>
      </c>
      <c r="O11" s="1572">
        <v>692.21900000000005</v>
      </c>
      <c r="P11" s="1572">
        <v>4041.075151072132</v>
      </c>
      <c r="Q11" s="3785"/>
      <c r="U11" s="3022" t="s">
        <v>1229</v>
      </c>
      <c r="V11" s="3022" t="s">
        <v>1231</v>
      </c>
      <c r="W11" s="3012"/>
      <c r="BA11">
        <v>80</v>
      </c>
      <c r="BB11">
        <v>692.21900000000005</v>
      </c>
      <c r="BC11">
        <v>4041.075151072132</v>
      </c>
    </row>
    <row r="12" spans="1:57" x14ac:dyDescent="0.2">
      <c r="A12" s="2503"/>
      <c r="J12" s="2503"/>
      <c r="N12" s="3787">
        <v>81</v>
      </c>
      <c r="O12" s="1572">
        <v>688.78899999999999</v>
      </c>
      <c r="P12" s="1572">
        <v>3998.9895309013355</v>
      </c>
      <c r="Q12" s="3785"/>
      <c r="S12" s="1573" t="s">
        <v>1227</v>
      </c>
      <c r="T12" s="1573" t="s">
        <v>1228</v>
      </c>
      <c r="U12" s="3023" t="s">
        <v>1230</v>
      </c>
      <c r="V12" s="3023" t="s">
        <v>1230</v>
      </c>
      <c r="W12" s="3012"/>
      <c r="BA12">
        <v>81</v>
      </c>
      <c r="BB12">
        <v>688.78899999999999</v>
      </c>
      <c r="BC12">
        <v>3998.9895309013355</v>
      </c>
    </row>
    <row r="13" spans="1:57" x14ac:dyDescent="0.2">
      <c r="A13" s="2503"/>
      <c r="J13" s="2503"/>
      <c r="N13" s="3787">
        <v>82</v>
      </c>
      <c r="O13" s="1572">
        <v>678.87</v>
      </c>
      <c r="P13" s="1572">
        <v>4074.8140291955747</v>
      </c>
      <c r="Q13" s="3785"/>
      <c r="S13" s="1572">
        <v>66128</v>
      </c>
      <c r="T13" s="1572">
        <v>683422</v>
      </c>
      <c r="U13" s="1572">
        <v>17039</v>
      </c>
      <c r="V13" s="1572">
        <v>324589</v>
      </c>
      <c r="W13" s="3012"/>
      <c r="BA13">
        <v>82</v>
      </c>
      <c r="BB13">
        <v>678.87</v>
      </c>
      <c r="BC13">
        <v>4074.8140291955747</v>
      </c>
    </row>
    <row r="14" spans="1:57" x14ac:dyDescent="0.2">
      <c r="A14" s="2503"/>
      <c r="J14" s="2503"/>
      <c r="N14" s="3787">
        <v>83</v>
      </c>
      <c r="O14" s="1572">
        <v>682.97299999999996</v>
      </c>
      <c r="P14" s="1572">
        <v>4230.5083802727195</v>
      </c>
      <c r="Q14" s="3785"/>
      <c r="S14" s="1572">
        <v>63180</v>
      </c>
      <c r="T14" s="1572">
        <v>694302</v>
      </c>
      <c r="U14" s="1572">
        <v>16530</v>
      </c>
      <c r="V14" s="1572">
        <v>331370</v>
      </c>
      <c r="W14" s="3012">
        <f>(S13-S14)/S13</f>
        <v>4.4580208081296882E-2</v>
      </c>
      <c r="BA14">
        <v>83</v>
      </c>
      <c r="BB14">
        <v>682.97299999999996</v>
      </c>
      <c r="BC14">
        <v>4230.5083802727195</v>
      </c>
    </row>
    <row r="15" spans="1:57" x14ac:dyDescent="0.2">
      <c r="A15" s="2503"/>
      <c r="J15" s="2503"/>
      <c r="N15" s="3787">
        <v>84</v>
      </c>
      <c r="O15" s="1572">
        <v>685.755</v>
      </c>
      <c r="P15" s="1572">
        <v>4120.123076025694</v>
      </c>
      <c r="Q15" s="3785"/>
      <c r="S15" s="1572">
        <v>60818</v>
      </c>
      <c r="T15" s="1572">
        <v>677208</v>
      </c>
      <c r="U15" s="1572">
        <v>15921</v>
      </c>
      <c r="V15" s="1572">
        <v>328256</v>
      </c>
      <c r="W15" s="3012">
        <f t="shared" ref="W15:W46" si="0">(S14-S15)/S14</f>
        <v>3.7385248496359609E-2</v>
      </c>
      <c r="BA15">
        <v>84</v>
      </c>
      <c r="BB15">
        <v>685.755</v>
      </c>
      <c r="BC15">
        <v>4120.123076025694</v>
      </c>
    </row>
    <row r="16" spans="1:57" x14ac:dyDescent="0.2">
      <c r="A16" s="2503"/>
      <c r="J16" s="2503"/>
      <c r="N16" s="3787">
        <v>85</v>
      </c>
      <c r="O16" s="1572">
        <v>678.63300000000004</v>
      </c>
      <c r="P16" s="1572">
        <v>4101.4568993844978</v>
      </c>
      <c r="Q16" s="3785"/>
      <c r="R16">
        <v>1985</v>
      </c>
      <c r="S16" s="3788">
        <v>55900</v>
      </c>
      <c r="T16" s="1572">
        <v>641441</v>
      </c>
      <c r="U16" s="1572">
        <v>15598</v>
      </c>
      <c r="V16" s="1572">
        <v>325441</v>
      </c>
      <c r="W16" s="3012">
        <f t="shared" si="0"/>
        <v>8.0864217830247623E-2</v>
      </c>
      <c r="BA16">
        <v>85</v>
      </c>
      <c r="BB16">
        <v>678.63300000000004</v>
      </c>
      <c r="BC16">
        <v>4101.4568993844978</v>
      </c>
    </row>
    <row r="17" spans="1:55" x14ac:dyDescent="0.2">
      <c r="A17" s="2503"/>
      <c r="J17" s="2503"/>
      <c r="N17" s="3787">
        <v>86</v>
      </c>
      <c r="O17" s="1572">
        <v>656.96900000000005</v>
      </c>
      <c r="P17" s="1572">
        <v>4280.4607218909869</v>
      </c>
      <c r="Q17" s="3785"/>
      <c r="R17" s="3775">
        <v>1986</v>
      </c>
      <c r="S17" s="1572">
        <v>55049</v>
      </c>
      <c r="T17" s="1572">
        <v>656969</v>
      </c>
      <c r="U17" s="1572">
        <v>15262</v>
      </c>
      <c r="V17" s="1572">
        <v>331144</v>
      </c>
      <c r="W17" s="3012">
        <f t="shared" si="0"/>
        <v>1.5223613595706618E-2</v>
      </c>
      <c r="BA17">
        <v>86</v>
      </c>
      <c r="BB17">
        <v>656.96900000000005</v>
      </c>
      <c r="BC17">
        <v>4280.4607218909869</v>
      </c>
    </row>
    <row r="18" spans="1:55" x14ac:dyDescent="0.2">
      <c r="A18" s="2503"/>
      <c r="J18" s="2503"/>
      <c r="N18" s="3787">
        <v>87</v>
      </c>
      <c r="O18" s="1572">
        <v>656.96900000000005</v>
      </c>
      <c r="P18" s="1572">
        <v>4030.852292878355</v>
      </c>
      <c r="Q18" s="3785"/>
      <c r="R18" s="3775">
        <v>1987</v>
      </c>
      <c r="S18" s="1572">
        <v>51900</v>
      </c>
      <c r="T18" s="1572">
        <v>625600</v>
      </c>
      <c r="U18" s="1572">
        <v>14778</v>
      </c>
      <c r="V18" s="1572">
        <v>316671</v>
      </c>
      <c r="W18" s="3012">
        <f t="shared" si="0"/>
        <v>5.7203582263074718E-2</v>
      </c>
      <c r="BA18">
        <v>87</v>
      </c>
      <c r="BB18">
        <v>656.96900000000005</v>
      </c>
      <c r="BC18">
        <v>4030.852292878355</v>
      </c>
    </row>
    <row r="19" spans="1:55" x14ac:dyDescent="0.2">
      <c r="A19" s="2503"/>
      <c r="J19" s="2503"/>
      <c r="N19" s="3787">
        <v>88</v>
      </c>
      <c r="O19" s="1572">
        <v>625.55600000000004</v>
      </c>
      <c r="P19" s="1572">
        <v>4085.8979851524086</v>
      </c>
      <c r="Q19" s="3785"/>
      <c r="R19" s="3775">
        <v>1988</v>
      </c>
      <c r="S19" s="1572">
        <v>49280</v>
      </c>
      <c r="T19" s="1572">
        <v>612129</v>
      </c>
      <c r="U19" s="1572">
        <v>14343</v>
      </c>
      <c r="V19" s="1572">
        <v>307915</v>
      </c>
      <c r="W19" s="3012">
        <f t="shared" si="0"/>
        <v>5.0481695568400771E-2</v>
      </c>
      <c r="BA19">
        <v>88</v>
      </c>
      <c r="BB19">
        <v>625.55600000000004</v>
      </c>
      <c r="BC19">
        <v>4085.8979851524086</v>
      </c>
    </row>
    <row r="20" spans="1:55" x14ac:dyDescent="0.2">
      <c r="A20" s="2503"/>
      <c r="B20" s="294" t="s">
        <v>1264</v>
      </c>
      <c r="I20" s="1667"/>
      <c r="J20" s="2503"/>
      <c r="N20" s="3787">
        <v>89</v>
      </c>
      <c r="O20" s="1572">
        <v>613.24800000000005</v>
      </c>
      <c r="P20" s="1572">
        <v>4244.423137132123</v>
      </c>
      <c r="Q20" s="3785"/>
      <c r="R20" s="3775">
        <v>1989</v>
      </c>
      <c r="S20" s="1572">
        <v>46800</v>
      </c>
      <c r="T20" s="1572">
        <v>599800</v>
      </c>
      <c r="U20" s="1572">
        <v>14082</v>
      </c>
      <c r="V20" s="1572">
        <v>310956</v>
      </c>
      <c r="W20" s="3012">
        <f t="shared" si="0"/>
        <v>5.0324675324675328E-2</v>
      </c>
      <c r="BA20">
        <v>89</v>
      </c>
      <c r="BB20">
        <v>613.24800000000005</v>
      </c>
      <c r="BC20">
        <v>4244.423137132123</v>
      </c>
    </row>
    <row r="21" spans="1:55" ht="31.7" customHeight="1" x14ac:dyDescent="0.25">
      <c r="A21" s="2503"/>
      <c r="B21" s="1525" t="s">
        <v>1331</v>
      </c>
      <c r="F21" s="1667"/>
      <c r="G21" s="1667"/>
      <c r="H21" s="1667"/>
      <c r="J21" s="2503"/>
      <c r="N21" s="3787">
        <v>90</v>
      </c>
      <c r="O21" s="1572">
        <v>599.83299999999997</v>
      </c>
      <c r="P21" s="1572">
        <v>4207.2893622058136</v>
      </c>
      <c r="Q21" s="3785"/>
      <c r="R21" s="3775">
        <v>1990</v>
      </c>
      <c r="S21" s="1572">
        <v>43554</v>
      </c>
      <c r="T21" s="1572">
        <v>573744</v>
      </c>
      <c r="U21" s="1572">
        <v>13773</v>
      </c>
      <c r="V21" s="1572">
        <v>306659</v>
      </c>
      <c r="W21" s="3012">
        <f t="shared" si="0"/>
        <v>6.9358974358974354E-2</v>
      </c>
      <c r="BA21">
        <v>90</v>
      </c>
      <c r="BB21">
        <v>599.83299999999997</v>
      </c>
      <c r="BC21">
        <v>4207.2893622058136</v>
      </c>
    </row>
    <row r="22" spans="1:55" x14ac:dyDescent="0.2">
      <c r="A22" s="2503"/>
      <c r="I22" s="1667"/>
      <c r="J22" s="2503"/>
      <c r="N22" s="3787">
        <v>91</v>
      </c>
      <c r="O22" s="1572">
        <v>575.91800000000001</v>
      </c>
      <c r="P22" s="1572">
        <v>4285.2593598394214</v>
      </c>
      <c r="Q22" s="3785"/>
      <c r="R22" s="3775">
        <v>1991</v>
      </c>
      <c r="S22" s="1572">
        <v>39800</v>
      </c>
      <c r="T22" s="1572">
        <v>543000</v>
      </c>
      <c r="U22" s="1572">
        <v>13047</v>
      </c>
      <c r="V22" s="1572">
        <v>300578</v>
      </c>
      <c r="W22" s="3012">
        <f t="shared" si="0"/>
        <v>8.6191853790696604E-2</v>
      </c>
      <c r="BA22">
        <v>91</v>
      </c>
      <c r="BB22">
        <v>575.91800000000001</v>
      </c>
      <c r="BC22">
        <v>4285.2593598394214</v>
      </c>
    </row>
    <row r="23" spans="1:55" x14ac:dyDescent="0.2">
      <c r="A23" s="2503"/>
      <c r="B23" s="2169" t="s">
        <v>852</v>
      </c>
      <c r="F23" s="1667"/>
      <c r="G23" s="1667"/>
      <c r="H23" s="1667"/>
      <c r="J23" s="2503"/>
      <c r="N23" s="3787">
        <v>92</v>
      </c>
      <c r="O23" s="1572">
        <v>542.952</v>
      </c>
      <c r="P23" s="1572">
        <v>4388.1853276164375</v>
      </c>
      <c r="Q23" s="3785"/>
      <c r="R23" s="3775">
        <v>1992</v>
      </c>
      <c r="S23" s="1572">
        <v>36180</v>
      </c>
      <c r="T23" s="1572">
        <v>518057</v>
      </c>
      <c r="U23" s="1572">
        <v>12447</v>
      </c>
      <c r="V23" s="1572">
        <v>295004</v>
      </c>
      <c r="W23" s="3012">
        <f t="shared" si="0"/>
        <v>9.0954773869346736E-2</v>
      </c>
      <c r="BA23">
        <v>92</v>
      </c>
      <c r="BB23">
        <v>542.952</v>
      </c>
      <c r="BC23">
        <v>4388.1853276164375</v>
      </c>
    </row>
    <row r="24" spans="1:55" x14ac:dyDescent="0.2">
      <c r="A24" s="2503"/>
      <c r="B24" s="2170" t="s">
        <v>1057</v>
      </c>
      <c r="C24" s="2885" t="s">
        <v>848</v>
      </c>
      <c r="D24" s="2886" t="s">
        <v>849</v>
      </c>
      <c r="E24" s="2887" t="s">
        <v>850</v>
      </c>
      <c r="F24" s="2886" t="s">
        <v>851</v>
      </c>
      <c r="G24" s="2887" t="s">
        <v>821</v>
      </c>
      <c r="H24" s="2886" t="s">
        <v>854</v>
      </c>
      <c r="I24" s="2496" t="s">
        <v>562</v>
      </c>
      <c r="J24" s="2503"/>
      <c r="N24" s="3787">
        <v>93</v>
      </c>
      <c r="O24" s="1572">
        <v>523.56100000000004</v>
      </c>
      <c r="P24" s="1572">
        <v>4620.0691036956532</v>
      </c>
      <c r="Q24" s="3785"/>
      <c r="R24" s="3775">
        <v>1993</v>
      </c>
      <c r="S24" s="1572">
        <v>34000</v>
      </c>
      <c r="T24" s="1572">
        <v>509400</v>
      </c>
      <c r="U24" s="1572">
        <v>12247</v>
      </c>
      <c r="V24" s="1572">
        <v>301803</v>
      </c>
      <c r="W24" s="3012">
        <f t="shared" si="0"/>
        <v>6.0254284134881153E-2</v>
      </c>
      <c r="BA24">
        <v>93</v>
      </c>
      <c r="BB24">
        <v>523.56100000000004</v>
      </c>
      <c r="BC24">
        <v>4620.0691036956532</v>
      </c>
    </row>
    <row r="25" spans="1:55" x14ac:dyDescent="0.2">
      <c r="A25" s="2503"/>
      <c r="B25" s="1772">
        <v>1980</v>
      </c>
      <c r="C25" s="2876">
        <v>200549</v>
      </c>
      <c r="D25" s="2877">
        <v>238580</v>
      </c>
      <c r="E25" s="2877">
        <v>138004</v>
      </c>
      <c r="F25" s="2877">
        <v>60592</v>
      </c>
      <c r="G25" s="2877">
        <v>41613</v>
      </c>
      <c r="H25" s="2878">
        <v>8258</v>
      </c>
      <c r="I25" s="2879">
        <f>SUM(C25:H25)</f>
        <v>687596</v>
      </c>
      <c r="J25" s="2503"/>
      <c r="K25" s="1667"/>
      <c r="L25" s="1667"/>
      <c r="N25" s="3787">
        <v>94</v>
      </c>
      <c r="O25" s="1572">
        <v>509.42200000000003</v>
      </c>
      <c r="P25" s="1572">
        <v>4731.7292931989587</v>
      </c>
      <c r="Q25" s="3785"/>
      <c r="R25" s="3775">
        <v>1994</v>
      </c>
      <c r="S25" s="1572">
        <v>31786</v>
      </c>
      <c r="T25" s="1572">
        <v>503341</v>
      </c>
      <c r="U25" s="1572">
        <v>12098</v>
      </c>
      <c r="V25" s="1572">
        <v>309071</v>
      </c>
      <c r="W25" s="3012">
        <f t="shared" si="0"/>
        <v>6.511764705882353E-2</v>
      </c>
      <c r="BA25">
        <v>94</v>
      </c>
      <c r="BB25">
        <v>509.42200000000003</v>
      </c>
      <c r="BC25">
        <v>4731.7292931989587</v>
      </c>
    </row>
    <row r="26" spans="1:55" x14ac:dyDescent="0.2">
      <c r="A26" s="2503"/>
      <c r="B26" s="2875">
        <v>2007</v>
      </c>
      <c r="C26" s="2880">
        <v>13210</v>
      </c>
      <c r="D26" s="2881">
        <v>39663</v>
      </c>
      <c r="E26" s="2881">
        <v>57189</v>
      </c>
      <c r="F26" s="2881">
        <v>52036</v>
      </c>
      <c r="G26" s="2881">
        <v>91608</v>
      </c>
      <c r="H26" s="2881">
        <v>108506</v>
      </c>
      <c r="I26" s="2882">
        <v>362212</v>
      </c>
      <c r="J26" s="2503"/>
      <c r="K26" s="1667"/>
      <c r="L26" s="1667"/>
      <c r="N26" s="3787">
        <v>95</v>
      </c>
      <c r="O26" s="1572">
        <v>502.935</v>
      </c>
      <c r="P26" s="1572">
        <v>4843.2063785578657</v>
      </c>
      <c r="Q26" s="3785"/>
      <c r="R26" s="3775">
        <v>1995</v>
      </c>
      <c r="S26" s="3788">
        <v>29300</v>
      </c>
      <c r="T26" s="1572">
        <v>498500</v>
      </c>
      <c r="U26" s="1572">
        <v>12008</v>
      </c>
      <c r="V26" s="1572">
        <v>314731</v>
      </c>
      <c r="W26" s="3012">
        <f t="shared" si="0"/>
        <v>7.8210532939029756E-2</v>
      </c>
      <c r="BA26">
        <v>95</v>
      </c>
      <c r="BB26">
        <v>502.935</v>
      </c>
      <c r="BC26">
        <v>4843.2063785578657</v>
      </c>
    </row>
    <row r="27" spans="1:55" ht="15" x14ac:dyDescent="0.2">
      <c r="A27" s="2503"/>
      <c r="B27" s="2954"/>
      <c r="C27" s="2885" t="s">
        <v>848</v>
      </c>
      <c r="D27" s="2886" t="s">
        <v>849</v>
      </c>
      <c r="E27" s="2887" t="s">
        <v>577</v>
      </c>
      <c r="F27" s="2954"/>
      <c r="G27" s="2887" t="s">
        <v>578</v>
      </c>
      <c r="H27" s="2887" t="s">
        <v>579</v>
      </c>
      <c r="I27" s="2954"/>
      <c r="J27" s="2503"/>
      <c r="K27" s="1667"/>
      <c r="L27" s="1667"/>
      <c r="N27" s="3787">
        <v>96</v>
      </c>
      <c r="O27" s="1572">
        <v>498.46300000000002</v>
      </c>
      <c r="P27" s="1572">
        <v>4926.0165749514008</v>
      </c>
      <c r="Q27" s="3785"/>
      <c r="R27" s="3775">
        <v>1996</v>
      </c>
      <c r="S27" s="1572">
        <v>27899</v>
      </c>
      <c r="T27" s="1572">
        <v>490321</v>
      </c>
      <c r="U27" s="1572">
        <v>11963</v>
      </c>
      <c r="V27" s="1572">
        <v>323029</v>
      </c>
      <c r="W27" s="3012">
        <f t="shared" si="0"/>
        <v>4.7815699658703074E-2</v>
      </c>
      <c r="BA27">
        <v>96</v>
      </c>
      <c r="BB27">
        <v>498.46300000000002</v>
      </c>
      <c r="BC27">
        <v>4926.0165749514008</v>
      </c>
    </row>
    <row r="28" spans="1:55" ht="15" x14ac:dyDescent="0.2">
      <c r="A28" s="2503"/>
      <c r="B28" s="2170">
        <v>2014</v>
      </c>
      <c r="C28" s="2880">
        <v>6993</v>
      </c>
      <c r="D28" s="2881">
        <v>22337</v>
      </c>
      <c r="E28" s="2881">
        <v>96860</v>
      </c>
      <c r="F28" s="2954"/>
      <c r="G28" s="2881">
        <v>142275</v>
      </c>
      <c r="H28" s="2881">
        <v>80679</v>
      </c>
      <c r="I28" s="2955">
        <f>H28+G28+E28+D28+C28</f>
        <v>349144</v>
      </c>
      <c r="J28" s="2503"/>
      <c r="N28" s="3787">
        <v>97</v>
      </c>
      <c r="O28" s="1572">
        <v>488.27100000000002</v>
      </c>
      <c r="P28" s="1572">
        <v>5062.9466013750562</v>
      </c>
      <c r="Q28" s="3785"/>
      <c r="R28" s="3775">
        <v>1997</v>
      </c>
      <c r="S28" s="1572">
        <v>25100</v>
      </c>
      <c r="T28" s="1572">
        <v>465700</v>
      </c>
      <c r="U28" s="1572">
        <v>11706</v>
      </c>
      <c r="V28" s="1572">
        <v>322697</v>
      </c>
      <c r="W28" s="3012">
        <f t="shared" si="0"/>
        <v>0.1003261765654683</v>
      </c>
      <c r="BA28">
        <v>97</v>
      </c>
      <c r="BB28">
        <v>488.27100000000002</v>
      </c>
      <c r="BC28">
        <v>5062.9466013750562</v>
      </c>
    </row>
    <row r="29" spans="1:55" ht="26.45" customHeight="1" x14ac:dyDescent="0.2">
      <c r="A29" s="2503"/>
      <c r="B29" s="2169" t="s">
        <v>853</v>
      </c>
      <c r="C29" s="2883"/>
      <c r="D29" s="2884"/>
      <c r="E29" s="2884"/>
      <c r="F29" s="2884"/>
      <c r="G29" s="2884"/>
      <c r="H29" s="2884"/>
      <c r="I29" s="1287"/>
      <c r="J29" s="2503"/>
      <c r="N29" s="3787">
        <v>98</v>
      </c>
      <c r="O29" s="1572">
        <v>462.66699999999997</v>
      </c>
      <c r="P29" s="1572">
        <v>4976</v>
      </c>
      <c r="Q29" s="3785"/>
      <c r="R29" s="3775">
        <v>1998</v>
      </c>
      <c r="S29" s="1572">
        <v>24000</v>
      </c>
      <c r="T29" s="1572">
        <v>447400</v>
      </c>
      <c r="U29" s="1572">
        <v>11367</v>
      </c>
      <c r="V29" s="1572">
        <v>309317</v>
      </c>
      <c r="W29" s="3012">
        <f t="shared" si="0"/>
        <v>4.3824701195219126E-2</v>
      </c>
      <c r="BA29">
        <v>98</v>
      </c>
      <c r="BB29">
        <v>462.66699999999997</v>
      </c>
      <c r="BC29">
        <v>4976</v>
      </c>
    </row>
    <row r="30" spans="1:55" x14ac:dyDescent="0.2">
      <c r="A30" s="2503"/>
      <c r="B30" s="2170" t="s">
        <v>1057</v>
      </c>
      <c r="C30" s="2885" t="s">
        <v>848</v>
      </c>
      <c r="D30" s="2886" t="s">
        <v>849</v>
      </c>
      <c r="E30" s="2887" t="s">
        <v>850</v>
      </c>
      <c r="F30" s="2886" t="s">
        <v>851</v>
      </c>
      <c r="G30" s="2887" t="s">
        <v>821</v>
      </c>
      <c r="H30" s="2886" t="s">
        <v>854</v>
      </c>
      <c r="I30" s="2888" t="s">
        <v>562</v>
      </c>
      <c r="J30" s="2503"/>
      <c r="N30" s="3787">
        <v>99</v>
      </c>
      <c r="O30" s="1572">
        <v>443.70400000000001</v>
      </c>
      <c r="P30" s="1572">
        <v>5077</v>
      </c>
      <c r="Q30" s="3785"/>
      <c r="R30" s="3775">
        <v>1999</v>
      </c>
      <c r="S30" s="1572">
        <v>21900</v>
      </c>
      <c r="T30" s="1572">
        <v>438100</v>
      </c>
      <c r="U30" s="1572">
        <v>10943</v>
      </c>
      <c r="V30" s="1572">
        <v>306230</v>
      </c>
      <c r="W30" s="3012">
        <f t="shared" si="0"/>
        <v>8.7499999999999994E-2</v>
      </c>
      <c r="BA30">
        <v>99</v>
      </c>
      <c r="BB30">
        <v>443.70400000000001</v>
      </c>
      <c r="BC30">
        <v>5077</v>
      </c>
    </row>
    <row r="31" spans="1:55" x14ac:dyDescent="0.2">
      <c r="A31" s="2503"/>
      <c r="B31" s="1772">
        <v>1980</v>
      </c>
      <c r="C31" s="2876">
        <v>46103</v>
      </c>
      <c r="D31" s="2877">
        <v>17678</v>
      </c>
      <c r="E31" s="2877">
        <v>5919</v>
      </c>
      <c r="F31" s="2877">
        <v>1801</v>
      </c>
      <c r="G31" s="2877">
        <v>915</v>
      </c>
      <c r="H31" s="2889">
        <v>106</v>
      </c>
      <c r="I31" s="2879">
        <f>SUM(C31:H31)</f>
        <v>72522</v>
      </c>
      <c r="J31" s="2503"/>
      <c r="N31" s="3787">
        <v>0</v>
      </c>
      <c r="O31" s="1572">
        <v>432.28899999999999</v>
      </c>
      <c r="P31" s="1572">
        <v>5267</v>
      </c>
      <c r="Q31" s="3785"/>
      <c r="R31" s="3775">
        <v>2000</v>
      </c>
      <c r="S31" s="1572">
        <v>19800</v>
      </c>
      <c r="T31" s="1572">
        <v>430200</v>
      </c>
      <c r="U31" s="1572">
        <v>10338</v>
      </c>
      <c r="V31" s="1572">
        <v>309200</v>
      </c>
      <c r="W31" s="3012">
        <f t="shared" si="0"/>
        <v>9.5890410958904104E-2</v>
      </c>
      <c r="BA31">
        <v>0</v>
      </c>
      <c r="BB31">
        <v>432.28899999999999</v>
      </c>
      <c r="BC31">
        <v>5267</v>
      </c>
    </row>
    <row r="32" spans="1:55" x14ac:dyDescent="0.2">
      <c r="A32" s="2503"/>
      <c r="B32" s="2875">
        <v>2007</v>
      </c>
      <c r="C32" s="2880">
        <v>2733</v>
      </c>
      <c r="D32" s="2881">
        <v>2752</v>
      </c>
      <c r="E32" s="2881">
        <v>2394</v>
      </c>
      <c r="F32" s="2881">
        <v>1538</v>
      </c>
      <c r="G32" s="2881">
        <v>1903</v>
      </c>
      <c r="H32" s="2881">
        <v>1378</v>
      </c>
      <c r="I32" s="2882">
        <v>12698</v>
      </c>
      <c r="J32" s="2503"/>
      <c r="N32" s="3787">
        <v>1</v>
      </c>
      <c r="O32" s="1572">
        <v>422</v>
      </c>
      <c r="P32" s="1572">
        <v>5408</v>
      </c>
      <c r="Q32" s="3785"/>
      <c r="R32" s="3775">
        <v>2001</v>
      </c>
      <c r="S32" s="1572">
        <v>18400</v>
      </c>
      <c r="T32" s="1572">
        <v>416300</v>
      </c>
      <c r="U32" s="1572">
        <v>9997</v>
      </c>
      <c r="V32" s="1572">
        <v>310157</v>
      </c>
      <c r="W32" s="3012">
        <f t="shared" si="0"/>
        <v>7.0707070707070704E-2</v>
      </c>
      <c r="BA32">
        <v>1</v>
      </c>
      <c r="BB32">
        <v>422</v>
      </c>
      <c r="BC32">
        <v>5408</v>
      </c>
    </row>
    <row r="33" spans="1:56" ht="15" x14ac:dyDescent="0.2">
      <c r="A33" s="2503"/>
      <c r="B33" s="2954"/>
      <c r="C33" s="2885" t="s">
        <v>848</v>
      </c>
      <c r="D33" s="2886" t="s">
        <v>849</v>
      </c>
      <c r="E33" s="2887" t="s">
        <v>577</v>
      </c>
      <c r="F33" s="2954"/>
      <c r="G33" s="2887" t="s">
        <v>578</v>
      </c>
      <c r="H33" s="3010" t="s">
        <v>579</v>
      </c>
      <c r="I33" s="2954"/>
      <c r="J33" s="2503"/>
      <c r="N33" s="3787">
        <v>2</v>
      </c>
      <c r="O33" s="1572">
        <v>411</v>
      </c>
      <c r="P33" s="1572">
        <v>5518</v>
      </c>
      <c r="Q33" s="3785"/>
      <c r="R33" s="3775">
        <v>2002</v>
      </c>
      <c r="S33" s="1572">
        <v>16800</v>
      </c>
      <c r="T33" s="1572">
        <v>406400</v>
      </c>
      <c r="U33" s="1572">
        <v>9658</v>
      </c>
      <c r="V33" s="1572">
        <v>302274</v>
      </c>
      <c r="W33" s="3012">
        <f t="shared" si="0"/>
        <v>8.6956521739130432E-2</v>
      </c>
      <c r="BA33">
        <v>2</v>
      </c>
      <c r="BB33">
        <v>411</v>
      </c>
      <c r="BC33">
        <v>5518</v>
      </c>
    </row>
    <row r="34" spans="1:56" ht="15" x14ac:dyDescent="0.2">
      <c r="A34" s="2503"/>
      <c r="B34" s="2170">
        <v>2014</v>
      </c>
      <c r="C34" s="2880">
        <v>1518</v>
      </c>
      <c r="D34" s="2881">
        <v>1538</v>
      </c>
      <c r="E34" s="2881">
        <v>2999</v>
      </c>
      <c r="F34" s="2954"/>
      <c r="G34" s="2881">
        <v>2038</v>
      </c>
      <c r="H34" s="2881">
        <v>581</v>
      </c>
      <c r="I34" s="2955">
        <f>C34+D34+E34+G34+H34</f>
        <v>8674</v>
      </c>
      <c r="J34" s="2503"/>
      <c r="N34" s="3787">
        <v>3</v>
      </c>
      <c r="O34" s="1572">
        <v>396</v>
      </c>
      <c r="P34" s="1572">
        <v>5783</v>
      </c>
      <c r="Q34" s="3785"/>
      <c r="R34" s="3775">
        <v>2003</v>
      </c>
      <c r="S34" s="1572">
        <v>15700</v>
      </c>
      <c r="T34" s="1572">
        <v>384800</v>
      </c>
      <c r="U34" s="1572">
        <v>9333</v>
      </c>
      <c r="V34" s="1572">
        <v>300067</v>
      </c>
      <c r="W34" s="3012">
        <f t="shared" si="0"/>
        <v>6.5476190476190479E-2</v>
      </c>
      <c r="BA34">
        <v>3</v>
      </c>
      <c r="BB34">
        <v>396</v>
      </c>
      <c r="BC34">
        <v>5783</v>
      </c>
    </row>
    <row r="35" spans="1:56" ht="18" customHeight="1" x14ac:dyDescent="0.2">
      <c r="A35" s="2503"/>
      <c r="B35" s="2169" t="s">
        <v>752</v>
      </c>
      <c r="C35" s="2884"/>
      <c r="D35" s="2884"/>
      <c r="E35" s="2884"/>
      <c r="F35" s="2884"/>
      <c r="G35" s="2884"/>
      <c r="H35" s="2884"/>
      <c r="I35" s="1287"/>
      <c r="J35" s="2503"/>
      <c r="N35" s="3787">
        <v>4</v>
      </c>
      <c r="O35" s="1572">
        <v>385</v>
      </c>
      <c r="P35" s="1572">
        <v>5809</v>
      </c>
      <c r="Q35" s="3785"/>
      <c r="R35" s="3775">
        <v>2004</v>
      </c>
      <c r="S35" s="1572">
        <v>14600</v>
      </c>
      <c r="T35" s="1572">
        <v>38200</v>
      </c>
      <c r="U35" s="1572">
        <v>9008</v>
      </c>
      <c r="V35" s="1572">
        <v>295485</v>
      </c>
      <c r="W35" s="3012">
        <f t="shared" si="0"/>
        <v>7.0063694267515922E-2</v>
      </c>
      <c r="BA35">
        <v>4</v>
      </c>
      <c r="BB35">
        <v>385</v>
      </c>
      <c r="BC35">
        <v>5809</v>
      </c>
    </row>
    <row r="36" spans="1:56" x14ac:dyDescent="0.2">
      <c r="A36" s="2503"/>
      <c r="B36" s="2170" t="s">
        <v>1057</v>
      </c>
      <c r="C36" s="2885" t="s">
        <v>848</v>
      </c>
      <c r="D36" s="2886" t="s">
        <v>849</v>
      </c>
      <c r="E36" s="2887" t="s">
        <v>850</v>
      </c>
      <c r="F36" s="2886" t="s">
        <v>851</v>
      </c>
      <c r="G36" s="2887" t="s">
        <v>821</v>
      </c>
      <c r="H36" s="2886" t="s">
        <v>854</v>
      </c>
      <c r="I36" s="2888" t="s">
        <v>562</v>
      </c>
      <c r="J36" s="2503"/>
      <c r="N36" s="3787">
        <v>5</v>
      </c>
      <c r="O36" s="1572">
        <v>381</v>
      </c>
      <c r="P36" s="1572">
        <v>5867</v>
      </c>
      <c r="Q36" s="3785"/>
      <c r="R36" s="3775">
        <v>2005</v>
      </c>
      <c r="S36" s="3788">
        <v>14300</v>
      </c>
      <c r="T36" s="1572">
        <v>379800</v>
      </c>
      <c r="U36" s="1572">
        <v>8682</v>
      </c>
      <c r="V36" s="1572">
        <v>289299</v>
      </c>
      <c r="W36" s="3012">
        <f t="shared" si="0"/>
        <v>2.0547945205479451E-2</v>
      </c>
      <c r="BA36">
        <v>5</v>
      </c>
      <c r="BB36">
        <v>381</v>
      </c>
      <c r="BC36">
        <v>5867</v>
      </c>
    </row>
    <row r="37" spans="1:56" x14ac:dyDescent="0.2">
      <c r="A37" s="2503"/>
      <c r="B37" s="1772">
        <v>1980</v>
      </c>
      <c r="C37" s="2890">
        <f t="shared" ref="C37:I38" si="1">C25/C31</f>
        <v>4.3500206060343141</v>
      </c>
      <c r="D37" s="2891">
        <f t="shared" si="1"/>
        <v>13.495870573594297</v>
      </c>
      <c r="E37" s="2891">
        <f t="shared" si="1"/>
        <v>23.315424902855213</v>
      </c>
      <c r="F37" s="2891">
        <f t="shared" si="1"/>
        <v>33.643531371460298</v>
      </c>
      <c r="G37" s="2891">
        <f t="shared" si="1"/>
        <v>45.478688524590162</v>
      </c>
      <c r="H37" s="2892">
        <f t="shared" si="1"/>
        <v>77.905660377358487</v>
      </c>
      <c r="I37" s="2941">
        <f t="shared" si="1"/>
        <v>9.4812057030969914</v>
      </c>
      <c r="J37" s="2503"/>
      <c r="N37" s="3787">
        <v>6</v>
      </c>
      <c r="O37" s="1572">
        <v>369</v>
      </c>
      <c r="P37" s="1572">
        <v>5892</v>
      </c>
      <c r="Q37" s="3785"/>
      <c r="R37" s="3775">
        <v>2006</v>
      </c>
      <c r="S37" s="1572">
        <v>13500</v>
      </c>
      <c r="T37" s="1572">
        <v>368700</v>
      </c>
      <c r="U37" s="1572">
        <v>7964</v>
      </c>
      <c r="V37" s="1572">
        <v>282965</v>
      </c>
      <c r="W37" s="3012">
        <f t="shared" si="0"/>
        <v>5.5944055944055944E-2</v>
      </c>
      <c r="BA37">
        <v>6</v>
      </c>
      <c r="BB37">
        <v>369</v>
      </c>
      <c r="BC37">
        <v>5892</v>
      </c>
    </row>
    <row r="38" spans="1:56" x14ac:dyDescent="0.2">
      <c r="A38" s="2503"/>
      <c r="B38" s="2875">
        <v>2007</v>
      </c>
      <c r="C38" s="2956">
        <f t="shared" si="1"/>
        <v>4.8335162824734725</v>
      </c>
      <c r="D38" s="2957">
        <f t="shared" si="1"/>
        <v>14.412427325581396</v>
      </c>
      <c r="E38" s="2957">
        <f t="shared" si="1"/>
        <v>23.888471177944862</v>
      </c>
      <c r="F38" s="2957">
        <f t="shared" si="1"/>
        <v>33.833550065019509</v>
      </c>
      <c r="G38" s="2957">
        <f t="shared" si="1"/>
        <v>48.138728323699425</v>
      </c>
      <c r="H38" s="2958">
        <f t="shared" si="1"/>
        <v>78.741654571843256</v>
      </c>
      <c r="I38" s="2942">
        <f t="shared" si="1"/>
        <v>28.525122066467159</v>
      </c>
      <c r="J38" s="2503"/>
      <c r="N38" s="3787">
        <v>7</v>
      </c>
      <c r="O38" s="1572">
        <v>363</v>
      </c>
      <c r="P38" s="1572">
        <v>6089</v>
      </c>
      <c r="Q38" s="3785"/>
      <c r="R38" s="3775">
        <v>2007</v>
      </c>
      <c r="S38" s="1572">
        <v>12000</v>
      </c>
      <c r="T38" s="1572">
        <v>356200</v>
      </c>
      <c r="U38" s="1572">
        <v>7655</v>
      </c>
      <c r="V38" s="1572">
        <v>283372</v>
      </c>
      <c r="W38" s="3012">
        <f t="shared" si="0"/>
        <v>0.1111111111111111</v>
      </c>
      <c r="BA38">
        <v>7</v>
      </c>
      <c r="BB38">
        <v>363</v>
      </c>
      <c r="BC38">
        <v>6089</v>
      </c>
    </row>
    <row r="39" spans="1:56" ht="18.75" customHeight="1" x14ac:dyDescent="0.2">
      <c r="A39" s="2503"/>
      <c r="B39" s="2954"/>
      <c r="C39" s="2885" t="s">
        <v>848</v>
      </c>
      <c r="D39" s="2886" t="s">
        <v>849</v>
      </c>
      <c r="E39" s="2887" t="s">
        <v>577</v>
      </c>
      <c r="F39" s="2954"/>
      <c r="G39" s="2887" t="s">
        <v>578</v>
      </c>
      <c r="H39" s="2887" t="s">
        <v>579</v>
      </c>
      <c r="I39" s="2954"/>
      <c r="J39" s="2503"/>
      <c r="N39" s="3787">
        <v>8</v>
      </c>
      <c r="O39" s="1572">
        <v>361</v>
      </c>
      <c r="P39" s="1572">
        <v>6082</v>
      </c>
      <c r="Q39" s="3785"/>
      <c r="R39" s="3775">
        <v>2008</v>
      </c>
      <c r="S39" s="1572">
        <v>11800</v>
      </c>
      <c r="T39" s="1572">
        <v>360600</v>
      </c>
      <c r="U39" s="1572">
        <v>7408</v>
      </c>
      <c r="V39" s="1572">
        <v>285419</v>
      </c>
      <c r="W39" s="3012">
        <f t="shared" si="0"/>
        <v>1.6666666666666666E-2</v>
      </c>
      <c r="BA39">
        <v>8</v>
      </c>
      <c r="BB39">
        <v>361</v>
      </c>
      <c r="BC39">
        <v>6082</v>
      </c>
    </row>
    <row r="40" spans="1:56" ht="15" x14ac:dyDescent="0.2">
      <c r="A40" s="2503"/>
      <c r="B40" s="2170">
        <v>2014</v>
      </c>
      <c r="C40" s="2959">
        <f>C28/C34</f>
        <v>4.6067193675889326</v>
      </c>
      <c r="D40" s="2960">
        <f>D28/D34</f>
        <v>14.523407022106632</v>
      </c>
      <c r="E40" s="2960">
        <f>E28/E34</f>
        <v>32.297432477492499</v>
      </c>
      <c r="F40" s="2961"/>
      <c r="G40" s="2960">
        <f>G28/G34</f>
        <v>69.811089303238475</v>
      </c>
      <c r="H40" s="2960">
        <f>H28/H34</f>
        <v>138.86230636833045</v>
      </c>
      <c r="I40" s="2962">
        <f>I28/I34</f>
        <v>40.251786949504265</v>
      </c>
      <c r="J40" s="2503"/>
      <c r="N40" s="3787">
        <v>9</v>
      </c>
      <c r="O40" s="1572">
        <v>358</v>
      </c>
      <c r="P40" s="1572">
        <v>6198</v>
      </c>
      <c r="Q40" s="3785"/>
      <c r="R40" s="3775">
        <v>2009</v>
      </c>
      <c r="S40" s="1572">
        <v>11303</v>
      </c>
      <c r="T40" s="1572">
        <v>350432</v>
      </c>
      <c r="U40" s="1572">
        <v>7205</v>
      </c>
      <c r="V40" s="1572">
        <v>282820</v>
      </c>
      <c r="W40" s="3012">
        <f t="shared" si="0"/>
        <v>4.2118644067796612E-2</v>
      </c>
      <c r="BA40">
        <v>9</v>
      </c>
      <c r="BB40">
        <v>358</v>
      </c>
      <c r="BC40">
        <v>6198</v>
      </c>
    </row>
    <row r="41" spans="1:56" ht="15" customHeight="1" x14ac:dyDescent="0.2">
      <c r="A41" s="2503"/>
      <c r="B41" s="2169" t="s">
        <v>753</v>
      </c>
      <c r="C41" s="1287"/>
      <c r="D41" s="1287"/>
      <c r="E41" s="1287"/>
      <c r="F41" s="2884"/>
      <c r="G41" s="2884"/>
      <c r="H41" s="2884"/>
      <c r="I41" s="1287"/>
      <c r="J41" s="2503"/>
      <c r="N41" s="3787">
        <v>10</v>
      </c>
      <c r="O41" s="1572">
        <v>354</v>
      </c>
      <c r="P41" s="1572">
        <v>6309</v>
      </c>
      <c r="Q41" s="3785"/>
      <c r="R41" s="3775">
        <v>2010</v>
      </c>
      <c r="S41" s="1572">
        <v>10834</v>
      </c>
      <c r="T41" s="1572">
        <v>353099</v>
      </c>
      <c r="U41" s="1572">
        <v>6835</v>
      </c>
      <c r="V41" s="1572">
        <v>284218</v>
      </c>
      <c r="W41" s="3012">
        <f t="shared" si="0"/>
        <v>4.1493408829514286E-2</v>
      </c>
      <c r="BA41">
        <v>10</v>
      </c>
      <c r="BB41">
        <v>354</v>
      </c>
      <c r="BC41">
        <v>6309</v>
      </c>
    </row>
    <row r="42" spans="1:56" x14ac:dyDescent="0.2">
      <c r="A42" s="2503"/>
      <c r="B42" s="2170" t="s">
        <v>1057</v>
      </c>
      <c r="C42" s="2885" t="s">
        <v>848</v>
      </c>
      <c r="D42" s="2886" t="s">
        <v>849</v>
      </c>
      <c r="E42" s="2887" t="s">
        <v>850</v>
      </c>
      <c r="F42" s="2886" t="s">
        <v>851</v>
      </c>
      <c r="G42" s="2887" t="s">
        <v>821</v>
      </c>
      <c r="H42" s="2886" t="s">
        <v>854</v>
      </c>
      <c r="I42" s="2893" t="s">
        <v>562</v>
      </c>
      <c r="J42" s="2503"/>
      <c r="N42" s="3787">
        <v>11</v>
      </c>
      <c r="O42" s="1572">
        <v>347</v>
      </c>
      <c r="P42" s="1572">
        <v>6579</v>
      </c>
      <c r="Q42" s="3785"/>
      <c r="R42" s="3775">
        <v>2011</v>
      </c>
      <c r="S42" s="1572">
        <v>10221</v>
      </c>
      <c r="T42" s="1572">
        <v>347355</v>
      </c>
      <c r="U42" s="1572">
        <v>6512</v>
      </c>
      <c r="V42" s="1572">
        <v>285136</v>
      </c>
      <c r="W42" s="3012">
        <f t="shared" si="0"/>
        <v>5.6581133468709618E-2</v>
      </c>
      <c r="BA42">
        <v>11</v>
      </c>
      <c r="BB42">
        <v>347</v>
      </c>
      <c r="BC42">
        <v>6579</v>
      </c>
    </row>
    <row r="43" spans="1:56" x14ac:dyDescent="0.2">
      <c r="A43" s="2503"/>
      <c r="B43" s="2820" t="s">
        <v>375</v>
      </c>
      <c r="C43" s="2894">
        <f t="shared" ref="C43:H43" si="2">C25/$I$25</f>
        <v>0.29166690905706255</v>
      </c>
      <c r="D43" s="2894">
        <f t="shared" si="2"/>
        <v>0.34697700393835917</v>
      </c>
      <c r="E43" s="2894">
        <f t="shared" si="2"/>
        <v>0.20070506518362527</v>
      </c>
      <c r="F43" s="2894">
        <f t="shared" si="2"/>
        <v>8.8121513214154817E-2</v>
      </c>
      <c r="G43" s="2894">
        <f t="shared" si="2"/>
        <v>6.0519549270210998E-2</v>
      </c>
      <c r="H43" s="2895">
        <f t="shared" si="2"/>
        <v>1.2009959336587182E-2</v>
      </c>
      <c r="I43" s="2896">
        <f>SUM(C43:H43)</f>
        <v>1</v>
      </c>
      <c r="J43" s="2503"/>
      <c r="N43" s="3787">
        <v>12</v>
      </c>
      <c r="O43" s="1572">
        <v>340</v>
      </c>
      <c r="P43" s="1572">
        <v>6702</v>
      </c>
      <c r="Q43" s="37"/>
      <c r="R43" s="3775">
        <v>2012</v>
      </c>
      <c r="S43" s="1572">
        <v>9625</v>
      </c>
      <c r="T43" s="1572">
        <v>340416</v>
      </c>
      <c r="U43" s="1572">
        <v>6296</v>
      </c>
      <c r="V43" s="1572">
        <v>285933</v>
      </c>
      <c r="W43" s="3012">
        <f t="shared" si="0"/>
        <v>5.8311319831719007E-2</v>
      </c>
      <c r="BA43">
        <v>12</v>
      </c>
      <c r="BB43">
        <v>340</v>
      </c>
      <c r="BC43">
        <v>6273.9186450305197</v>
      </c>
      <c r="BD43">
        <v>340</v>
      </c>
    </row>
    <row r="44" spans="1:56" x14ac:dyDescent="0.2">
      <c r="A44" s="2503"/>
      <c r="B44" s="2821" t="s">
        <v>376</v>
      </c>
      <c r="C44" s="2897">
        <f>C26/$I$26</f>
        <v>3.6470354378099014E-2</v>
      </c>
      <c r="D44" s="2897">
        <f t="shared" ref="D44:I44" si="3">D26/$I$26</f>
        <v>0.10950216999988957</v>
      </c>
      <c r="E44" s="2897">
        <f t="shared" si="3"/>
        <v>0.15788819807184742</v>
      </c>
      <c r="F44" s="2897">
        <f t="shared" si="3"/>
        <v>0.14366172296886906</v>
      </c>
      <c r="G44" s="2897">
        <f t="shared" si="3"/>
        <v>0.25291265888485198</v>
      </c>
      <c r="H44" s="2898">
        <f t="shared" si="3"/>
        <v>0.29956489569644296</v>
      </c>
      <c r="I44" s="2899">
        <f t="shared" si="3"/>
        <v>1</v>
      </c>
      <c r="J44" s="2503"/>
      <c r="N44" s="3787">
        <v>13</v>
      </c>
      <c r="O44" s="1572">
        <v>342</v>
      </c>
      <c r="P44" s="1572">
        <v>6749</v>
      </c>
      <c r="Q44" s="37"/>
      <c r="R44" s="3775">
        <v>2013</v>
      </c>
      <c r="S44" s="1572">
        <v>9157</v>
      </c>
      <c r="T44" s="1572">
        <v>342635</v>
      </c>
      <c r="U44" s="1572">
        <v>6047</v>
      </c>
      <c r="V44" s="1572">
        <v>291473</v>
      </c>
      <c r="W44" s="3012">
        <f t="shared" si="0"/>
        <v>4.8623376623376624E-2</v>
      </c>
      <c r="BA44">
        <v>13</v>
      </c>
      <c r="BB44">
        <v>304.10230202429199</v>
      </c>
      <c r="BC44">
        <v>6350.5354532770098</v>
      </c>
      <c r="BD44">
        <f>BD43-(BD43*$BE$3%)</f>
        <v>323</v>
      </c>
    </row>
    <row r="45" spans="1:56" ht="15" x14ac:dyDescent="0.2">
      <c r="A45" s="2503"/>
      <c r="B45" s="2954"/>
      <c r="C45" s="2885" t="s">
        <v>848</v>
      </c>
      <c r="D45" s="2886" t="s">
        <v>849</v>
      </c>
      <c r="E45" s="2887" t="s">
        <v>577</v>
      </c>
      <c r="F45" s="2954"/>
      <c r="G45" s="2887" t="s">
        <v>578</v>
      </c>
      <c r="H45" s="2887" t="s">
        <v>579</v>
      </c>
      <c r="I45" s="2954"/>
      <c r="J45" s="2503"/>
      <c r="K45" s="2857"/>
      <c r="L45" s="2857"/>
      <c r="N45" s="3787">
        <v>14</v>
      </c>
      <c r="O45" s="1572">
        <v>349</v>
      </c>
      <c r="P45" s="1572">
        <v>6750</v>
      </c>
      <c r="Q45" s="37"/>
      <c r="R45" s="3775">
        <v>2014</v>
      </c>
      <c r="S45" s="1572">
        <v>8674</v>
      </c>
      <c r="T45" s="1572">
        <v>349144</v>
      </c>
      <c r="U45" s="1572">
        <v>5833</v>
      </c>
      <c r="V45" s="1572">
        <v>296245</v>
      </c>
      <c r="W45" s="3012">
        <f t="shared" si="0"/>
        <v>5.2746532707218519E-2</v>
      </c>
      <c r="BA45">
        <v>14</v>
      </c>
      <c r="BB45">
        <v>292.58335303643798</v>
      </c>
      <c r="BC45">
        <v>6427.1522615234999</v>
      </c>
      <c r="BD45">
        <f t="shared" ref="BD45:BD108" si="4">BD44-(BD44*$BE$3%)</f>
        <v>306.85000000000002</v>
      </c>
    </row>
    <row r="46" spans="1:56" ht="15" x14ac:dyDescent="0.2">
      <c r="A46" s="2503"/>
      <c r="B46" s="3111" t="s">
        <v>1318</v>
      </c>
      <c r="C46" s="2964">
        <f>C28/$I$28</f>
        <v>2.0028985175171276E-2</v>
      </c>
      <c r="D46" s="2897">
        <f>D28/$I$28</f>
        <v>6.3976468162133676E-2</v>
      </c>
      <c r="E46" s="2897">
        <f>E28/$I$28</f>
        <v>0.27742135050294436</v>
      </c>
      <c r="F46" s="2961"/>
      <c r="G46" s="2897">
        <f>G28/$I$28</f>
        <v>0.40749662030566186</v>
      </c>
      <c r="H46" s="2897">
        <f>H28/$I$28</f>
        <v>0.23107657585408886</v>
      </c>
      <c r="I46" s="2963">
        <f>I28/$I$28</f>
        <v>1</v>
      </c>
      <c r="J46" s="2503"/>
      <c r="N46" s="3787">
        <v>15</v>
      </c>
      <c r="R46" s="3775">
        <v>2015</v>
      </c>
      <c r="S46" s="3788">
        <v>8469</v>
      </c>
      <c r="T46" s="1572">
        <v>341248</v>
      </c>
      <c r="U46" s="1572">
        <v>5673</v>
      </c>
      <c r="V46" s="1572">
        <v>296039</v>
      </c>
      <c r="W46" s="3012">
        <f t="shared" si="0"/>
        <v>2.3633848282222734E-2</v>
      </c>
      <c r="BA46">
        <v>15</v>
      </c>
      <c r="BB46">
        <v>281.06440404858301</v>
      </c>
      <c r="BC46">
        <v>6503.76906977</v>
      </c>
      <c r="BD46">
        <f t="shared" si="4"/>
        <v>291.50750000000005</v>
      </c>
    </row>
    <row r="47" spans="1:56" ht="4.7" customHeight="1" x14ac:dyDescent="0.2">
      <c r="A47" s="2503"/>
      <c r="C47" s="2900"/>
      <c r="D47" s="2900"/>
      <c r="E47" s="2900"/>
      <c r="F47" s="2900"/>
      <c r="G47" s="2900"/>
      <c r="H47" s="2900"/>
      <c r="I47" s="2900"/>
      <c r="J47" s="2503"/>
      <c r="BA47">
        <v>16</v>
      </c>
      <c r="BB47">
        <v>269.54545506072901</v>
      </c>
      <c r="BC47">
        <v>6580.3858780164901</v>
      </c>
      <c r="BD47">
        <f t="shared" si="4"/>
        <v>276.93212500000004</v>
      </c>
    </row>
    <row r="48" spans="1:56" x14ac:dyDescent="0.2">
      <c r="A48" s="2503"/>
      <c r="B48" s="2169" t="s">
        <v>754</v>
      </c>
      <c r="C48" s="2900"/>
      <c r="D48" s="2900"/>
      <c r="E48" s="2900"/>
      <c r="F48" s="2900"/>
      <c r="G48" s="2900"/>
      <c r="H48" s="2900"/>
      <c r="I48" s="1287"/>
      <c r="J48" s="2503"/>
      <c r="BA48">
        <v>17</v>
      </c>
      <c r="BB48">
        <v>258.02650607287501</v>
      </c>
      <c r="BC48">
        <v>6657.0026862629802</v>
      </c>
      <c r="BD48">
        <f t="shared" si="4"/>
        <v>263.08551875000006</v>
      </c>
    </row>
    <row r="49" spans="1:56" x14ac:dyDescent="0.2">
      <c r="A49" s="2503"/>
      <c r="B49" s="2170" t="s">
        <v>1057</v>
      </c>
      <c r="C49" s="2885" t="s">
        <v>848</v>
      </c>
      <c r="D49" s="2886" t="s">
        <v>849</v>
      </c>
      <c r="E49" s="2887" t="s">
        <v>850</v>
      </c>
      <c r="F49" s="2886" t="s">
        <v>851</v>
      </c>
      <c r="G49" s="2887" t="s">
        <v>821</v>
      </c>
      <c r="H49" s="2886" t="s">
        <v>854</v>
      </c>
      <c r="I49" s="2887" t="s">
        <v>562</v>
      </c>
      <c r="J49" s="2503"/>
      <c r="BA49">
        <v>18</v>
      </c>
      <c r="BB49">
        <v>246.50755708502101</v>
      </c>
      <c r="BC49">
        <v>6733.6194945094803</v>
      </c>
      <c r="BD49">
        <f t="shared" si="4"/>
        <v>249.93124281250005</v>
      </c>
    </row>
    <row r="50" spans="1:56" x14ac:dyDescent="0.2">
      <c r="A50" s="2503"/>
      <c r="B50" s="2820" t="s">
        <v>377</v>
      </c>
      <c r="C50" s="2901">
        <f t="shared" ref="C50:H50" si="5">C31/$I$31</f>
        <v>0.63571054300763907</v>
      </c>
      <c r="D50" s="2894">
        <f t="shared" si="5"/>
        <v>0.24376051405090868</v>
      </c>
      <c r="E50" s="2894">
        <f t="shared" si="5"/>
        <v>8.1616612889881687E-2</v>
      </c>
      <c r="F50" s="2894">
        <f t="shared" si="5"/>
        <v>2.483384352334464E-2</v>
      </c>
      <c r="G50" s="2894">
        <f t="shared" si="5"/>
        <v>1.2616861090427733E-2</v>
      </c>
      <c r="H50" s="2902">
        <f t="shared" si="5"/>
        <v>1.4616254377981853E-3</v>
      </c>
      <c r="I50" s="2896">
        <f>SUM(C50:H50)</f>
        <v>0.99999999999999989</v>
      </c>
      <c r="J50" s="2503"/>
      <c r="BA50">
        <v>19</v>
      </c>
      <c r="BB50">
        <v>234.98860809716601</v>
      </c>
      <c r="BC50">
        <v>6810.2363027559704</v>
      </c>
      <c r="BD50">
        <f t="shared" si="4"/>
        <v>237.43468067187504</v>
      </c>
    </row>
    <row r="51" spans="1:56" x14ac:dyDescent="0.2">
      <c r="A51" s="2503"/>
      <c r="B51" s="2821" t="s">
        <v>378</v>
      </c>
      <c r="C51" s="2903">
        <f>C32/$I$32</f>
        <v>0.21523074499921246</v>
      </c>
      <c r="D51" s="2897">
        <f t="shared" ref="D51:I51" si="6">D32/$I$32</f>
        <v>0.21672704362891795</v>
      </c>
      <c r="E51" s="2897">
        <f t="shared" si="6"/>
        <v>0.18853362734288864</v>
      </c>
      <c r="F51" s="2897">
        <f t="shared" si="6"/>
        <v>0.12112143644668452</v>
      </c>
      <c r="G51" s="2897">
        <f t="shared" si="6"/>
        <v>0.1498661206489211</v>
      </c>
      <c r="H51" s="2898">
        <f t="shared" si="6"/>
        <v>0.10852102693337533</v>
      </c>
      <c r="I51" s="2899">
        <f t="shared" si="6"/>
        <v>1</v>
      </c>
      <c r="J51" s="2503"/>
      <c r="K51" s="2857"/>
      <c r="L51" s="2857"/>
      <c r="BA51">
        <v>20</v>
      </c>
      <c r="BB51">
        <v>223.469659109312</v>
      </c>
      <c r="BC51">
        <v>6886.8531110024596</v>
      </c>
      <c r="BD51">
        <f t="shared" si="4"/>
        <v>225.56294663828129</v>
      </c>
    </row>
    <row r="52" spans="1:56" ht="15" x14ac:dyDescent="0.2">
      <c r="A52" s="2503"/>
      <c r="B52" s="2954"/>
      <c r="C52" s="2885" t="s">
        <v>848</v>
      </c>
      <c r="D52" s="2886" t="s">
        <v>849</v>
      </c>
      <c r="E52" s="2887" t="s">
        <v>577</v>
      </c>
      <c r="F52" s="2954"/>
      <c r="G52" s="2887" t="s">
        <v>578</v>
      </c>
      <c r="H52" s="2887" t="s">
        <v>579</v>
      </c>
      <c r="I52" s="2954"/>
      <c r="J52" s="2503"/>
      <c r="AB52" t="s">
        <v>129</v>
      </c>
      <c r="BA52">
        <v>21</v>
      </c>
      <c r="BB52">
        <v>211.950710121458</v>
      </c>
      <c r="BC52">
        <v>6963.4699192489597</v>
      </c>
      <c r="BD52">
        <f t="shared" si="4"/>
        <v>214.28479930636723</v>
      </c>
    </row>
    <row r="53" spans="1:56" ht="17.45" customHeight="1" x14ac:dyDescent="0.2">
      <c r="A53" s="2503"/>
      <c r="B53" s="3111" t="s">
        <v>1319</v>
      </c>
      <c r="C53" s="2964">
        <f>C34/$I$34</f>
        <v>0.17500576435323956</v>
      </c>
      <c r="D53" s="2897">
        <f t="shared" ref="D53:I53" si="7">D34/$I$34</f>
        <v>0.17731150564906617</v>
      </c>
      <c r="E53" s="2897">
        <f t="shared" si="7"/>
        <v>0.34574590730919991</v>
      </c>
      <c r="F53" s="2961"/>
      <c r="G53" s="2897">
        <f t="shared" si="7"/>
        <v>0.23495503804473139</v>
      </c>
      <c r="H53" s="2897">
        <f t="shared" si="7"/>
        <v>6.6981784643762976E-2</v>
      </c>
      <c r="I53" s="2963">
        <f t="shared" si="7"/>
        <v>1</v>
      </c>
      <c r="J53" s="2503"/>
      <c r="BA53">
        <v>22</v>
      </c>
      <c r="BB53">
        <v>200.431761133604</v>
      </c>
      <c r="BC53">
        <v>7040.0867274954498</v>
      </c>
      <c r="BD53">
        <f t="shared" si="4"/>
        <v>203.57055934104886</v>
      </c>
    </row>
    <row r="54" spans="1:56" x14ac:dyDescent="0.2">
      <c r="A54" s="2503"/>
      <c r="B54" s="3105" t="s">
        <v>1320</v>
      </c>
      <c r="J54" s="2503"/>
      <c r="BA54">
        <v>23</v>
      </c>
      <c r="BB54">
        <v>188.912812145749</v>
      </c>
      <c r="BC54">
        <v>7116.70353574194</v>
      </c>
      <c r="BD54">
        <f t="shared" si="4"/>
        <v>193.39203137399642</v>
      </c>
    </row>
    <row r="55" spans="1:56" ht="4.7" customHeight="1" x14ac:dyDescent="0.2">
      <c r="A55" s="2503"/>
      <c r="B55" s="294"/>
      <c r="J55" s="2503"/>
      <c r="BA55">
        <v>24</v>
      </c>
      <c r="BB55">
        <v>177.393863157895</v>
      </c>
      <c r="BC55">
        <v>7193.3203439884401</v>
      </c>
      <c r="BD55">
        <f t="shared" si="4"/>
        <v>183.7224298052966</v>
      </c>
    </row>
    <row r="56" spans="1:56" ht="4.7" customHeight="1" x14ac:dyDescent="0.2">
      <c r="A56" s="2503"/>
      <c r="B56" s="1527"/>
      <c r="C56" s="1526"/>
      <c r="D56" s="1526"/>
      <c r="J56" s="2503"/>
      <c r="BA56">
        <v>25</v>
      </c>
      <c r="BB56">
        <v>165.874914170041</v>
      </c>
      <c r="BC56">
        <v>7269.9371522349302</v>
      </c>
      <c r="BD56">
        <f t="shared" si="4"/>
        <v>174.53630831503176</v>
      </c>
    </row>
    <row r="57" spans="1:56" ht="17.100000000000001" customHeight="1" x14ac:dyDescent="0.25">
      <c r="A57" s="2503"/>
      <c r="B57" s="619" t="s">
        <v>755</v>
      </c>
      <c r="C57" s="1516"/>
      <c r="D57" s="1516"/>
      <c r="E57" s="1516"/>
      <c r="F57" s="1516"/>
      <c r="J57" s="2503"/>
      <c r="BA57">
        <v>26</v>
      </c>
      <c r="BB57">
        <v>154.355965182186</v>
      </c>
      <c r="BC57">
        <v>7346.5539604814203</v>
      </c>
      <c r="BD57">
        <f t="shared" si="4"/>
        <v>165.80949289928017</v>
      </c>
    </row>
    <row r="58" spans="1:56" x14ac:dyDescent="0.2">
      <c r="A58" s="2503"/>
      <c r="B58" s="1540" t="s">
        <v>724</v>
      </c>
      <c r="C58" s="1516"/>
      <c r="D58" s="1516"/>
      <c r="E58" s="1516"/>
      <c r="F58" s="1516"/>
      <c r="J58" s="2503"/>
      <c r="BA58">
        <v>27</v>
      </c>
      <c r="BB58">
        <v>142.83701619433199</v>
      </c>
      <c r="BC58">
        <v>7423.1707687279204</v>
      </c>
      <c r="BD58">
        <f t="shared" si="4"/>
        <v>157.51901825431617</v>
      </c>
    </row>
    <row r="59" spans="1:56" ht="18.75" customHeight="1" x14ac:dyDescent="0.2">
      <c r="A59" s="2503"/>
      <c r="B59" t="s">
        <v>855</v>
      </c>
      <c r="C59" s="1516"/>
      <c r="F59" s="1516"/>
      <c r="J59" s="2503"/>
      <c r="BA59">
        <v>28</v>
      </c>
      <c r="BB59">
        <v>131.31806720647799</v>
      </c>
      <c r="BC59">
        <v>7499.7875769744096</v>
      </c>
      <c r="BD59">
        <f t="shared" si="4"/>
        <v>149.64306734160036</v>
      </c>
    </row>
    <row r="60" spans="1:56" ht="13.5" thickBot="1" x14ac:dyDescent="0.25">
      <c r="A60" s="2503"/>
      <c r="C60" s="1516"/>
      <c r="F60" s="1516"/>
      <c r="J60" s="2503"/>
      <c r="BA60">
        <v>29</v>
      </c>
      <c r="BB60">
        <v>119.799118218624</v>
      </c>
      <c r="BC60">
        <v>7576.4043852208997</v>
      </c>
      <c r="BD60">
        <f t="shared" si="4"/>
        <v>142.16091397452033</v>
      </c>
    </row>
    <row r="61" spans="1:56" ht="15.75" x14ac:dyDescent="0.25">
      <c r="A61" s="2503"/>
      <c r="B61" s="1557" t="s">
        <v>832</v>
      </c>
      <c r="C61" s="1553"/>
      <c r="D61" s="4038" t="s">
        <v>833</v>
      </c>
      <c r="E61" s="4038"/>
      <c r="F61" s="4038"/>
      <c r="G61" s="4038"/>
      <c r="H61" s="4039" t="s">
        <v>834</v>
      </c>
      <c r="I61" s="4040"/>
      <c r="J61" s="2503"/>
      <c r="N61" s="1515" t="s">
        <v>1446</v>
      </c>
      <c r="BA61">
        <v>30</v>
      </c>
      <c r="BB61">
        <v>108.280169230769</v>
      </c>
      <c r="BC61">
        <v>7653.0211934673998</v>
      </c>
      <c r="BD61">
        <f t="shared" si="4"/>
        <v>135.05286827579431</v>
      </c>
    </row>
    <row r="62" spans="1:56" ht="7.5" customHeight="1" x14ac:dyDescent="0.25">
      <c r="A62" s="2503"/>
      <c r="B62" s="2069"/>
      <c r="C62" s="300"/>
      <c r="D62" s="2070"/>
      <c r="E62" s="2070"/>
      <c r="F62" s="2070"/>
      <c r="G62" s="2070"/>
      <c r="H62" s="2071"/>
      <c r="I62" s="2072"/>
      <c r="J62" s="2503"/>
      <c r="BA62">
        <v>31</v>
      </c>
      <c r="BB62">
        <v>96.761220242914803</v>
      </c>
      <c r="BC62">
        <v>7729.6380017138899</v>
      </c>
      <c r="BD62">
        <f t="shared" si="4"/>
        <v>128.3002248620046</v>
      </c>
    </row>
    <row r="63" spans="1:56" ht="5.25" customHeight="1" x14ac:dyDescent="0.2">
      <c r="A63" s="2503"/>
      <c r="B63" s="1519"/>
      <c r="C63" s="300"/>
      <c r="D63" s="1520"/>
      <c r="E63" s="1521"/>
      <c r="F63" s="1521"/>
      <c r="G63" s="1521"/>
      <c r="H63" s="1556"/>
      <c r="I63" s="1449"/>
      <c r="J63" s="2503"/>
      <c r="BA63">
        <v>32</v>
      </c>
      <c r="BB63">
        <v>85.2422712550607</v>
      </c>
      <c r="BC63">
        <v>7806.25480996038</v>
      </c>
      <c r="BD63">
        <f t="shared" si="4"/>
        <v>121.88521361890437</v>
      </c>
    </row>
    <row r="64" spans="1:56" ht="14.45" customHeight="1" x14ac:dyDescent="0.25">
      <c r="A64" s="2503"/>
      <c r="B64" s="1519"/>
      <c r="C64" s="300"/>
      <c r="D64" s="2924">
        <v>1993</v>
      </c>
      <c r="E64" s="2925">
        <v>1993</v>
      </c>
      <c r="F64" s="2926">
        <v>2015</v>
      </c>
      <c r="G64" s="2925">
        <v>2015</v>
      </c>
      <c r="H64" s="4034">
        <v>2015</v>
      </c>
      <c r="I64" s="4035"/>
      <c r="J64" s="2503"/>
      <c r="K64" s="3020"/>
      <c r="M64" s="436"/>
      <c r="N64" s="1575" t="s">
        <v>705</v>
      </c>
      <c r="O64" s="1575" t="s">
        <v>961</v>
      </c>
      <c r="P64" s="336"/>
      <c r="BA64">
        <v>33</v>
      </c>
      <c r="BB64">
        <v>73.723322267206797</v>
      </c>
      <c r="BC64">
        <v>7882.8716182068802</v>
      </c>
      <c r="BD64">
        <f t="shared" si="4"/>
        <v>115.79095293795916</v>
      </c>
    </row>
    <row r="65" spans="1:56" ht="14.45" customHeight="1" x14ac:dyDescent="0.2">
      <c r="A65" s="2503"/>
      <c r="B65" s="1517"/>
      <c r="C65" s="300"/>
      <c r="D65" s="1522" t="s">
        <v>808</v>
      </c>
      <c r="E65" s="1523" t="s">
        <v>808</v>
      </c>
      <c r="F65" s="1524" t="s">
        <v>808</v>
      </c>
      <c r="G65" s="1523" t="s">
        <v>808</v>
      </c>
      <c r="H65" s="1614" t="s">
        <v>839</v>
      </c>
      <c r="I65" s="1615" t="s">
        <v>756</v>
      </c>
      <c r="J65" s="2503"/>
      <c r="M65" s="3781" t="s">
        <v>1445</v>
      </c>
      <c r="N65" s="3776">
        <v>211621</v>
      </c>
      <c r="O65" s="3777">
        <v>3.41</v>
      </c>
      <c r="P65" s="3779">
        <f>N65*O65</f>
        <v>721627.61</v>
      </c>
      <c r="BA65">
        <v>34</v>
      </c>
      <c r="BB65">
        <v>62.204373279351699</v>
      </c>
      <c r="BC65">
        <v>7959.4884264533703</v>
      </c>
      <c r="BD65">
        <f t="shared" si="4"/>
        <v>110.0014052910612</v>
      </c>
    </row>
    <row r="66" spans="1:56" ht="16.149999999999999" customHeight="1" thickBot="1" x14ac:dyDescent="0.25">
      <c r="A66" s="2503"/>
      <c r="B66" s="1518"/>
      <c r="C66" s="300"/>
      <c r="D66" s="1528" t="s">
        <v>810</v>
      </c>
      <c r="E66" s="1555" t="s">
        <v>811</v>
      </c>
      <c r="F66" s="1668" t="s">
        <v>810</v>
      </c>
      <c r="G66" s="1555" t="s">
        <v>811</v>
      </c>
      <c r="H66" s="4032" t="s">
        <v>835</v>
      </c>
      <c r="I66" s="4033"/>
      <c r="J66" s="2503"/>
      <c r="M66" s="3781" t="s">
        <v>1444</v>
      </c>
      <c r="N66" s="3776">
        <v>83405</v>
      </c>
      <c r="O66" s="3777">
        <v>3.38</v>
      </c>
      <c r="P66" s="3779">
        <f>N66*O66</f>
        <v>281908.89999999997</v>
      </c>
      <c r="BA66">
        <v>35</v>
      </c>
      <c r="BB66">
        <v>50.685424291497696</v>
      </c>
      <c r="BC66">
        <v>8036.1052346998604</v>
      </c>
      <c r="BD66">
        <f t="shared" si="4"/>
        <v>104.50133502650814</v>
      </c>
    </row>
    <row r="67" spans="1:56" ht="16.149999999999999" customHeight="1" x14ac:dyDescent="0.25">
      <c r="A67" s="2503"/>
      <c r="B67" s="2945" t="s">
        <v>915</v>
      </c>
      <c r="C67" s="1553"/>
      <c r="D67" s="2904">
        <v>4904</v>
      </c>
      <c r="E67" s="2905">
        <v>5400</v>
      </c>
      <c r="F67" s="2906">
        <v>6571</v>
      </c>
      <c r="G67" s="2905">
        <v>7462</v>
      </c>
      <c r="H67" s="2907">
        <v>4.1100000000000003</v>
      </c>
      <c r="I67" s="2908">
        <v>3.45</v>
      </c>
      <c r="J67" s="2503"/>
      <c r="K67" s="3020"/>
      <c r="M67" s="1529" t="s">
        <v>197</v>
      </c>
      <c r="N67" s="3778">
        <f>SUM(N65:N66)</f>
        <v>295026</v>
      </c>
      <c r="O67" s="487"/>
      <c r="P67" s="3780">
        <f>SUM(P65:P66)</f>
        <v>1003536.51</v>
      </c>
      <c r="BA67">
        <v>36</v>
      </c>
      <c r="BB67">
        <v>39.166475303643701</v>
      </c>
      <c r="BC67">
        <v>8112.7220429463596</v>
      </c>
      <c r="BD67">
        <f t="shared" si="4"/>
        <v>99.27626827518273</v>
      </c>
    </row>
    <row r="68" spans="1:56" ht="15.75" customHeight="1" x14ac:dyDescent="0.2">
      <c r="A68" s="2503"/>
      <c r="B68" s="2946" t="s">
        <v>809</v>
      </c>
      <c r="C68" s="300"/>
      <c r="D68" s="2909">
        <v>5375</v>
      </c>
      <c r="E68" s="2910">
        <v>6310</v>
      </c>
      <c r="F68" s="2911">
        <v>7556</v>
      </c>
      <c r="G68" s="2910">
        <v>8724</v>
      </c>
      <c r="H68" s="2912">
        <v>4.07</v>
      </c>
      <c r="I68" s="2913">
        <v>3.33</v>
      </c>
      <c r="J68" s="2503"/>
      <c r="K68" s="3020"/>
      <c r="M68" s="37"/>
      <c r="N68" s="438"/>
      <c r="O68" s="487"/>
      <c r="P68" s="300"/>
      <c r="BA68">
        <v>37</v>
      </c>
      <c r="BB68">
        <v>27.647526315789701</v>
      </c>
      <c r="BC68">
        <v>8189.3388511928497</v>
      </c>
      <c r="BD68">
        <f t="shared" si="4"/>
        <v>94.312454861423589</v>
      </c>
    </row>
    <row r="69" spans="1:56" ht="16.5" customHeight="1" x14ac:dyDescent="0.25">
      <c r="A69" s="2503"/>
      <c r="B69" s="2946" t="s">
        <v>927</v>
      </c>
      <c r="C69" s="300"/>
      <c r="D69" s="2909">
        <v>5231</v>
      </c>
      <c r="E69" s="2910">
        <v>5921</v>
      </c>
      <c r="F69" s="2911">
        <v>6383</v>
      </c>
      <c r="G69" s="2910">
        <v>7413</v>
      </c>
      <c r="H69" s="2912">
        <v>4.2300000000000004</v>
      </c>
      <c r="I69" s="2913">
        <v>3.53</v>
      </c>
      <c r="J69" s="2503"/>
      <c r="K69" s="3020"/>
      <c r="M69" s="613" t="s">
        <v>196</v>
      </c>
      <c r="N69" s="3782"/>
      <c r="O69" s="3783">
        <f>P67/N67</f>
        <v>3.4015188830814913</v>
      </c>
      <c r="P69" s="612"/>
      <c r="BA69">
        <v>38</v>
      </c>
      <c r="BB69">
        <v>16.1285773279347</v>
      </c>
      <c r="BC69">
        <v>8265.9556594393398</v>
      </c>
      <c r="BD69">
        <f t="shared" si="4"/>
        <v>89.59683211835241</v>
      </c>
    </row>
    <row r="70" spans="1:56" ht="8.4499999999999993" customHeight="1" x14ac:dyDescent="0.2">
      <c r="A70" s="2503"/>
      <c r="B70" s="2946"/>
      <c r="C70" s="300"/>
      <c r="D70" s="1610"/>
      <c r="E70" s="1611"/>
      <c r="F70" s="1616"/>
      <c r="G70" s="1611"/>
      <c r="H70" s="1612"/>
      <c r="I70" s="1613"/>
      <c r="J70" s="2503"/>
      <c r="K70" s="3020"/>
      <c r="BA70">
        <v>39</v>
      </c>
      <c r="BB70">
        <v>4.6096283400806897</v>
      </c>
      <c r="BC70">
        <v>8342.5724676858408</v>
      </c>
      <c r="BD70">
        <f t="shared" si="4"/>
        <v>85.116990512434796</v>
      </c>
    </row>
    <row r="71" spans="1:56" ht="15.75" thickBot="1" x14ac:dyDescent="0.3">
      <c r="A71" s="2503"/>
      <c r="B71" s="2947" t="s">
        <v>812</v>
      </c>
      <c r="C71" s="1554"/>
      <c r="D71" s="2914">
        <v>5085</v>
      </c>
      <c r="E71" s="2915">
        <v>5716</v>
      </c>
      <c r="F71" s="2916">
        <v>6749</v>
      </c>
      <c r="G71" s="2915">
        <v>7587</v>
      </c>
      <c r="H71" s="2917">
        <v>4.1100000000000003</v>
      </c>
      <c r="I71" s="2918">
        <v>3.4</v>
      </c>
      <c r="J71" s="2503"/>
      <c r="K71" s="3020"/>
      <c r="P71" s="3020" t="s">
        <v>1447</v>
      </c>
      <c r="BA71">
        <v>40</v>
      </c>
      <c r="BB71">
        <v>-6.9093206477722999</v>
      </c>
      <c r="BC71">
        <v>8419.18927593232</v>
      </c>
      <c r="BD71">
        <f t="shared" si="4"/>
        <v>80.861140986813055</v>
      </c>
    </row>
    <row r="72" spans="1:56" ht="15" thickBot="1" x14ac:dyDescent="0.25">
      <c r="A72" s="2503"/>
      <c r="B72" s="2948" t="s">
        <v>856</v>
      </c>
      <c r="C72" s="1609"/>
      <c r="D72" s="2919">
        <v>115890</v>
      </c>
      <c r="E72" s="2920">
        <v>183325</v>
      </c>
      <c r="F72" s="2921">
        <v>83405</v>
      </c>
      <c r="G72" s="2920">
        <f>295026-83405</f>
        <v>211621</v>
      </c>
      <c r="H72" s="2922"/>
      <c r="I72" s="2923"/>
      <c r="J72" s="2503"/>
      <c r="BA72">
        <v>41</v>
      </c>
      <c r="BD72">
        <f t="shared" si="4"/>
        <v>76.818083937472409</v>
      </c>
    </row>
    <row r="73" spans="1:56" ht="23.25" x14ac:dyDescent="0.35">
      <c r="A73" s="2503"/>
      <c r="B73" s="2068" t="s">
        <v>1448</v>
      </c>
      <c r="C73" s="28"/>
      <c r="D73" s="2067"/>
      <c r="E73" s="2067"/>
      <c r="F73" s="2067"/>
      <c r="G73" s="2067"/>
      <c r="H73" s="1019"/>
      <c r="I73" s="1019"/>
      <c r="J73" s="2503"/>
      <c r="K73" s="3053"/>
      <c r="BA73">
        <v>42</v>
      </c>
      <c r="BD73">
        <f t="shared" si="4"/>
        <v>72.977179740598785</v>
      </c>
    </row>
    <row r="74" spans="1:56" x14ac:dyDescent="0.2">
      <c r="A74" s="2503"/>
      <c r="B74" s="2068"/>
      <c r="C74" s="28"/>
      <c r="D74" s="2067"/>
      <c r="E74" s="2067"/>
      <c r="F74" s="2067"/>
      <c r="G74" s="2067"/>
      <c r="H74" s="1019"/>
      <c r="I74" s="1019"/>
      <c r="J74" s="2503"/>
      <c r="BA74">
        <v>43</v>
      </c>
      <c r="BD74">
        <f t="shared" si="4"/>
        <v>69.328320753568846</v>
      </c>
    </row>
    <row r="75" spans="1:56" x14ac:dyDescent="0.2">
      <c r="A75" s="2503"/>
      <c r="B75" s="2068"/>
      <c r="C75" s="28"/>
      <c r="D75" s="2067"/>
      <c r="E75" s="2067"/>
      <c r="F75" s="2067"/>
      <c r="G75" s="2067"/>
      <c r="H75" s="1019"/>
      <c r="I75" s="1019"/>
      <c r="J75" s="2503"/>
      <c r="BA75">
        <v>44</v>
      </c>
      <c r="BD75">
        <f t="shared" si="4"/>
        <v>65.861904715890404</v>
      </c>
    </row>
    <row r="76" spans="1:56" x14ac:dyDescent="0.2">
      <c r="A76" s="2503"/>
      <c r="B76" s="2068"/>
      <c r="C76" s="28"/>
      <c r="D76" s="2067"/>
      <c r="E76" s="2067"/>
      <c r="F76" s="2067"/>
      <c r="G76" s="2067"/>
      <c r="H76" s="1019"/>
      <c r="I76" s="1019"/>
      <c r="J76" s="2503"/>
      <c r="BA76">
        <v>45</v>
      </c>
      <c r="BD76">
        <f t="shared" si="4"/>
        <v>62.568809480095886</v>
      </c>
    </row>
    <row r="77" spans="1:56" x14ac:dyDescent="0.2">
      <c r="A77" s="2503"/>
      <c r="B77" s="2068"/>
      <c r="C77" s="28"/>
      <c r="D77" s="2067"/>
      <c r="E77" s="2067"/>
      <c r="F77" s="2067"/>
      <c r="G77" s="2067"/>
      <c r="H77" s="1019"/>
      <c r="I77" s="1019"/>
      <c r="J77" s="2503"/>
      <c r="BA77">
        <v>46</v>
      </c>
      <c r="BD77">
        <f t="shared" si="4"/>
        <v>59.440369006091089</v>
      </c>
    </row>
    <row r="78" spans="1:56" x14ac:dyDescent="0.2">
      <c r="A78" s="2503"/>
      <c r="B78" s="2068"/>
      <c r="C78" s="28"/>
      <c r="D78" s="2067"/>
      <c r="E78" s="2067"/>
      <c r="F78" s="2067"/>
      <c r="G78" s="2067"/>
      <c r="H78" s="1019"/>
      <c r="I78" s="1019"/>
      <c r="J78" s="2503"/>
      <c r="BA78">
        <v>47</v>
      </c>
      <c r="BD78">
        <f t="shared" si="4"/>
        <v>56.468350555786536</v>
      </c>
    </row>
    <row r="79" spans="1:56" x14ac:dyDescent="0.2">
      <c r="A79" s="2503"/>
      <c r="B79" s="2068"/>
      <c r="C79" s="28"/>
      <c r="D79" s="2067"/>
      <c r="E79" s="2067"/>
      <c r="F79" s="2067"/>
      <c r="G79" s="2067"/>
      <c r="H79" s="1019"/>
      <c r="I79" s="1019"/>
      <c r="J79" s="2503"/>
      <c r="BA79">
        <v>48</v>
      </c>
      <c r="BD79">
        <f t="shared" si="4"/>
        <v>53.644933027997212</v>
      </c>
    </row>
    <row r="80" spans="1:56" x14ac:dyDescent="0.2">
      <c r="A80" s="2503"/>
      <c r="B80" s="2068"/>
      <c r="C80" s="28"/>
      <c r="D80" s="2067"/>
      <c r="E80" s="2067"/>
      <c r="F80" s="2067"/>
      <c r="G80" s="2067"/>
      <c r="H80" s="1019"/>
      <c r="I80" s="1019"/>
      <c r="J80" s="2503"/>
      <c r="BA80">
        <v>49</v>
      </c>
      <c r="BD80">
        <f t="shared" si="4"/>
        <v>50.962686376597354</v>
      </c>
    </row>
    <row r="81" spans="1:56" x14ac:dyDescent="0.2">
      <c r="A81" s="2503"/>
      <c r="B81" s="2068"/>
      <c r="C81" s="28"/>
      <c r="D81" s="2067"/>
      <c r="E81" s="2067"/>
      <c r="F81" s="2067"/>
      <c r="G81" s="2067"/>
      <c r="H81" s="1019"/>
      <c r="I81" s="1019"/>
      <c r="J81" s="2503"/>
      <c r="BA81">
        <v>50</v>
      </c>
      <c r="BD81">
        <f t="shared" si="4"/>
        <v>48.414552057767487</v>
      </c>
    </row>
    <row r="82" spans="1:56" x14ac:dyDescent="0.2">
      <c r="A82" s="2503"/>
      <c r="B82" s="2068"/>
      <c r="C82" s="28"/>
      <c r="D82" s="2067"/>
      <c r="E82" s="2067"/>
      <c r="F82" s="2067"/>
      <c r="G82" s="2067"/>
      <c r="H82" s="1019"/>
      <c r="I82" s="1019"/>
      <c r="J82" s="2503"/>
      <c r="BA82">
        <v>51</v>
      </c>
      <c r="BD82">
        <f t="shared" si="4"/>
        <v>45.99382445487911</v>
      </c>
    </row>
    <row r="83" spans="1:56" x14ac:dyDescent="0.2">
      <c r="A83" s="2503"/>
      <c r="B83" s="2068"/>
      <c r="C83" s="28"/>
      <c r="D83" s="2067"/>
      <c r="E83" s="2067"/>
      <c r="F83" s="2067"/>
      <c r="G83" s="2067"/>
      <c r="H83" s="1019"/>
      <c r="I83" s="1019"/>
      <c r="J83" s="2503"/>
      <c r="BA83">
        <v>52</v>
      </c>
      <c r="BD83">
        <f t="shared" si="4"/>
        <v>43.694133232135158</v>
      </c>
    </row>
    <row r="84" spans="1:56" x14ac:dyDescent="0.2">
      <c r="A84" s="2503"/>
      <c r="B84" s="2068"/>
      <c r="C84" s="28"/>
      <c r="D84" s="2067"/>
      <c r="E84" s="2067"/>
      <c r="F84" s="2067"/>
      <c r="G84" s="2067"/>
      <c r="H84" s="1019"/>
      <c r="I84" s="1019"/>
      <c r="J84" s="2503"/>
      <c r="BA84">
        <v>53</v>
      </c>
      <c r="BD84">
        <f t="shared" si="4"/>
        <v>41.509426570528397</v>
      </c>
    </row>
    <row r="85" spans="1:56" x14ac:dyDescent="0.2">
      <c r="A85" s="2503"/>
      <c r="B85" s="2068"/>
      <c r="C85" s="28"/>
      <c r="D85" s="2067"/>
      <c r="E85" s="2067"/>
      <c r="F85" s="2067"/>
      <c r="G85" s="2067"/>
      <c r="H85" s="1019"/>
      <c r="I85" s="1019"/>
      <c r="J85" s="2503"/>
      <c r="BA85">
        <v>54</v>
      </c>
      <c r="BD85">
        <f t="shared" si="4"/>
        <v>39.433955242001979</v>
      </c>
    </row>
    <row r="86" spans="1:56" x14ac:dyDescent="0.2">
      <c r="A86" s="2503"/>
      <c r="B86" s="2068"/>
      <c r="C86" s="28"/>
      <c r="D86" s="2067"/>
      <c r="E86" s="2067"/>
      <c r="F86" s="2067"/>
      <c r="G86" s="2067"/>
      <c r="H86" s="1019"/>
      <c r="I86" s="1019"/>
      <c r="J86" s="2503"/>
      <c r="BA86">
        <v>55</v>
      </c>
      <c r="BD86">
        <f t="shared" si="4"/>
        <v>37.462257479901879</v>
      </c>
    </row>
    <row r="87" spans="1:56" x14ac:dyDescent="0.2">
      <c r="A87" s="2503"/>
      <c r="B87" s="2068"/>
      <c r="C87" s="28"/>
      <c r="D87" s="2067"/>
      <c r="E87" s="2067"/>
      <c r="F87" s="2067"/>
      <c r="G87" s="2067"/>
      <c r="H87" s="1019"/>
      <c r="I87" s="1019"/>
      <c r="J87" s="2503"/>
      <c r="BA87">
        <v>56</v>
      </c>
      <c r="BD87">
        <f t="shared" si="4"/>
        <v>35.589144605906782</v>
      </c>
    </row>
    <row r="88" spans="1:56" x14ac:dyDescent="0.2">
      <c r="A88" s="2503"/>
      <c r="B88" s="2068"/>
      <c r="C88" s="28"/>
      <c r="D88" s="2067"/>
      <c r="E88" s="2067"/>
      <c r="F88" s="2067"/>
      <c r="G88" s="2067"/>
      <c r="H88" s="1019"/>
      <c r="I88" s="1019"/>
      <c r="J88" s="2503"/>
      <c r="BA88">
        <v>57</v>
      </c>
      <c r="BD88">
        <f t="shared" si="4"/>
        <v>33.809687375611446</v>
      </c>
    </row>
    <row r="89" spans="1:56" x14ac:dyDescent="0.2">
      <c r="A89" s="2503"/>
      <c r="B89" s="2068"/>
      <c r="C89" s="28"/>
      <c r="D89" s="2067"/>
      <c r="E89" s="2067"/>
      <c r="F89" s="2067"/>
      <c r="G89" s="2067"/>
      <c r="H89" s="1019"/>
      <c r="I89" s="1019"/>
      <c r="J89" s="2503"/>
      <c r="BA89">
        <v>58</v>
      </c>
      <c r="BD89">
        <f t="shared" si="4"/>
        <v>32.119203006830872</v>
      </c>
    </row>
    <row r="90" spans="1:56" ht="1.5" customHeight="1" x14ac:dyDescent="0.2">
      <c r="A90" s="2503"/>
      <c r="B90" s="2068"/>
      <c r="C90" s="28"/>
      <c r="D90" s="2067"/>
      <c r="E90" s="2067"/>
      <c r="F90" s="2067"/>
      <c r="G90" s="2067"/>
      <c r="H90" s="1019"/>
      <c r="I90" s="1019"/>
      <c r="J90" s="2503"/>
      <c r="BA90">
        <v>59</v>
      </c>
      <c r="BD90">
        <f t="shared" si="4"/>
        <v>30.513242856489327</v>
      </c>
    </row>
    <row r="91" spans="1:56" ht="2.25" customHeight="1" x14ac:dyDescent="0.2">
      <c r="A91" s="2503"/>
      <c r="B91" s="2068"/>
      <c r="C91" s="28"/>
      <c r="D91" s="2067"/>
      <c r="E91" s="2067"/>
      <c r="F91" s="2067"/>
      <c r="G91" s="2067"/>
      <c r="H91" s="1019"/>
      <c r="I91" s="1019"/>
      <c r="J91" s="2503"/>
      <c r="BA91">
        <v>60</v>
      </c>
      <c r="BD91">
        <f t="shared" si="4"/>
        <v>28.987580713664862</v>
      </c>
    </row>
    <row r="92" spans="1:56" ht="4.7" customHeight="1" x14ac:dyDescent="0.2">
      <c r="A92" s="2503"/>
      <c r="B92" s="2068"/>
      <c r="C92" s="28"/>
      <c r="D92" s="2067"/>
      <c r="E92" s="2067"/>
      <c r="F92" s="2067"/>
      <c r="G92" s="2067"/>
      <c r="H92" s="1019"/>
      <c r="I92" s="1019"/>
      <c r="J92" s="2503"/>
      <c r="BA92">
        <v>61</v>
      </c>
      <c r="BD92">
        <f t="shared" si="4"/>
        <v>27.538201677981618</v>
      </c>
    </row>
    <row r="93" spans="1:56" x14ac:dyDescent="0.2">
      <c r="A93" s="2503"/>
      <c r="B93" s="294" t="s">
        <v>1449</v>
      </c>
      <c r="C93" s="28"/>
      <c r="D93" s="2067"/>
      <c r="E93" s="2067"/>
      <c r="F93" s="2067"/>
      <c r="G93" s="2067"/>
      <c r="H93" s="1019"/>
      <c r="I93" s="1019"/>
      <c r="J93" s="2503"/>
      <c r="K93" s="1514"/>
      <c r="BA93">
        <v>62</v>
      </c>
      <c r="BD93">
        <f t="shared" si="4"/>
        <v>26.161291594082538</v>
      </c>
    </row>
    <row r="94" spans="1:56" ht="24.6" customHeight="1" x14ac:dyDescent="0.2">
      <c r="A94" s="2503"/>
      <c r="B94" s="2068"/>
      <c r="C94" s="28"/>
      <c r="D94" s="2067"/>
      <c r="E94" s="2067"/>
      <c r="F94" s="2067"/>
      <c r="G94" s="2067"/>
      <c r="H94" s="1019"/>
      <c r="I94" s="1019"/>
      <c r="J94" s="2503"/>
      <c r="BA94">
        <v>63</v>
      </c>
      <c r="BD94">
        <f t="shared" si="4"/>
        <v>24.853227014378412</v>
      </c>
    </row>
    <row r="95" spans="1:56" ht="3.6" customHeight="1" x14ac:dyDescent="0.2">
      <c r="A95" s="2503"/>
      <c r="B95" s="2068"/>
      <c r="C95" s="28"/>
      <c r="D95" s="2067"/>
      <c r="E95" s="2067"/>
      <c r="F95" s="2067"/>
      <c r="G95" s="2067"/>
      <c r="H95" s="1019"/>
      <c r="I95" s="1019"/>
      <c r="J95" s="2503"/>
      <c r="BA95">
        <v>64</v>
      </c>
      <c r="BD95">
        <f t="shared" si="4"/>
        <v>23.610565663659493</v>
      </c>
    </row>
    <row r="96" spans="1:56" ht="8.4499999999999993" customHeight="1" x14ac:dyDescent="0.2">
      <c r="A96" s="2503"/>
      <c r="B96" s="2068"/>
      <c r="C96" s="28"/>
      <c r="D96" s="2067"/>
      <c r="E96" s="2067"/>
      <c r="F96" s="2067"/>
      <c r="G96" s="2067"/>
      <c r="H96" s="1019"/>
      <c r="I96" s="1019"/>
      <c r="J96" s="2503"/>
      <c r="BA96">
        <v>65</v>
      </c>
      <c r="BD96">
        <f t="shared" si="4"/>
        <v>22.43003738047652</v>
      </c>
    </row>
    <row r="97" spans="1:56" ht="19.149999999999999" customHeight="1" x14ac:dyDescent="0.2">
      <c r="A97" s="2503"/>
      <c r="B97" s="2068"/>
      <c r="C97" s="28"/>
      <c r="D97" s="2067"/>
      <c r="E97" s="2067"/>
      <c r="F97" s="2067"/>
      <c r="G97" s="2067"/>
      <c r="H97" s="1019"/>
      <c r="I97" s="1019"/>
      <c r="J97" s="2503"/>
      <c r="BA97">
        <v>66</v>
      </c>
      <c r="BD97">
        <f t="shared" si="4"/>
        <v>21.308535511452693</v>
      </c>
    </row>
    <row r="98" spans="1:56" ht="18.75" customHeight="1" x14ac:dyDescent="0.2">
      <c r="A98" s="2503"/>
      <c r="B98" s="2068"/>
      <c r="C98" s="28"/>
      <c r="D98" s="2067"/>
      <c r="E98" s="2067"/>
      <c r="F98" s="2067"/>
      <c r="G98" s="2067"/>
      <c r="H98" s="1019"/>
      <c r="I98" s="1019"/>
      <c r="J98" s="2503"/>
      <c r="BA98">
        <v>67</v>
      </c>
      <c r="BD98">
        <f t="shared" si="4"/>
        <v>20.243108735880057</v>
      </c>
    </row>
    <row r="99" spans="1:56" x14ac:dyDescent="0.2">
      <c r="A99" s="2503"/>
      <c r="B99" s="2068"/>
      <c r="C99" s="28"/>
      <c r="D99" s="2067"/>
      <c r="E99" s="2067"/>
      <c r="F99" s="2067"/>
      <c r="G99" s="2067"/>
      <c r="H99" s="1019"/>
      <c r="I99" s="1019"/>
      <c r="J99" s="2503"/>
      <c r="K99" s="2171"/>
      <c r="L99" s="2171"/>
      <c r="R99" s="589"/>
      <c r="S99" s="589"/>
      <c r="T99" s="589"/>
      <c r="BA99">
        <v>68</v>
      </c>
      <c r="BD99">
        <f t="shared" si="4"/>
        <v>19.230953299086053</v>
      </c>
    </row>
    <row r="100" spans="1:56" ht="14.45" customHeight="1" x14ac:dyDescent="0.2">
      <c r="A100" s="2503"/>
      <c r="B100" s="2068"/>
      <c r="C100" s="28"/>
      <c r="D100" s="2067"/>
      <c r="E100" s="2067"/>
      <c r="F100" s="2067"/>
      <c r="G100" s="2067"/>
      <c r="H100" s="1019"/>
      <c r="I100" s="1019"/>
      <c r="J100" s="2503"/>
      <c r="R100" s="589"/>
      <c r="S100">
        <v>59721</v>
      </c>
      <c r="T100">
        <v>3.42</v>
      </c>
      <c r="U100">
        <v>84543</v>
      </c>
      <c r="V100">
        <v>3.47</v>
      </c>
      <c r="W100">
        <f>(S100*T100+U100*V100)/(S100+U100)</f>
        <v>3.4493014889369493</v>
      </c>
      <c r="Y100">
        <v>185436</v>
      </c>
      <c r="Z100">
        <v>3.45</v>
      </c>
      <c r="AA100">
        <f>Y100*Z100</f>
        <v>639754.20000000007</v>
      </c>
      <c r="BA100">
        <v>69</v>
      </c>
      <c r="BD100">
        <f t="shared" si="4"/>
        <v>18.269405634131751</v>
      </c>
    </row>
    <row r="101" spans="1:56" ht="14.45" customHeight="1" x14ac:dyDescent="0.2">
      <c r="A101" s="2503"/>
      <c r="B101" s="2068"/>
      <c r="C101" s="28"/>
      <c r="D101" s="2067"/>
      <c r="E101" s="2067"/>
      <c r="F101" s="2067"/>
      <c r="G101" s="2067"/>
      <c r="H101" s="1019"/>
      <c r="I101" s="1019"/>
      <c r="J101" s="2503"/>
      <c r="R101" s="1552"/>
      <c r="S101">
        <v>34027</v>
      </c>
      <c r="T101">
        <v>3.32</v>
      </c>
      <c r="U101">
        <v>46738</v>
      </c>
      <c r="V101">
        <v>3.36</v>
      </c>
      <c r="W101">
        <f>(S101*T101+U101*V101)/(S101+U101)</f>
        <v>3.3431476505912214</v>
      </c>
      <c r="Y101">
        <v>95145</v>
      </c>
      <c r="Z101">
        <v>3.4</v>
      </c>
      <c r="AA101">
        <f>Y101*Z101</f>
        <v>323493</v>
      </c>
      <c r="BA101">
        <v>70</v>
      </c>
      <c r="BD101">
        <f t="shared" si="4"/>
        <v>17.355935352425163</v>
      </c>
    </row>
    <row r="102" spans="1:56" ht="14.45" customHeight="1" x14ac:dyDescent="0.2">
      <c r="A102" s="2503"/>
      <c r="B102" s="2068"/>
      <c r="C102" s="28"/>
      <c r="D102" s="2067"/>
      <c r="E102" s="2067"/>
      <c r="F102" s="2067"/>
      <c r="G102" s="2067"/>
      <c r="H102" s="1019"/>
      <c r="I102" s="1019"/>
      <c r="J102" s="2503"/>
      <c r="R102" s="1552"/>
      <c r="S102">
        <v>13429</v>
      </c>
      <c r="T102">
        <v>3.52</v>
      </c>
      <c r="U102">
        <v>36660</v>
      </c>
      <c r="V102">
        <v>3.61</v>
      </c>
      <c r="W102">
        <f>(S102*T102+U102*V102)/(S102+U102)</f>
        <v>3.5858707500648843</v>
      </c>
      <c r="Y102">
        <f>SUM(Y100:Y101)</f>
        <v>280581</v>
      </c>
      <c r="AA102">
        <f>SUM(AA100:AA101)</f>
        <v>963247.20000000007</v>
      </c>
      <c r="BA102">
        <v>71</v>
      </c>
      <c r="BD102">
        <f t="shared" si="4"/>
        <v>16.488138584803906</v>
      </c>
    </row>
    <row r="103" spans="1:56" x14ac:dyDescent="0.2">
      <c r="A103" s="2503"/>
      <c r="B103" s="2068"/>
      <c r="C103" s="28"/>
      <c r="D103" s="2067"/>
      <c r="E103" s="2067"/>
      <c r="F103" s="2067"/>
      <c r="G103" s="2067"/>
      <c r="H103" s="1019"/>
      <c r="I103" s="1019"/>
      <c r="J103" s="2503"/>
      <c r="R103" s="1552"/>
      <c r="S103" s="1552"/>
      <c r="T103" s="1552"/>
      <c r="AA103">
        <f>AA102/Y102</f>
        <v>3.4330450030472486</v>
      </c>
      <c r="BA103">
        <v>72</v>
      </c>
      <c r="BD103">
        <f t="shared" si="4"/>
        <v>15.66373165556371</v>
      </c>
    </row>
    <row r="104" spans="1:56" x14ac:dyDescent="0.2">
      <c r="A104" s="2503"/>
      <c r="B104" s="2068"/>
      <c r="C104" s="28"/>
      <c r="D104" s="2067"/>
      <c r="E104" s="2067"/>
      <c r="F104" s="2067"/>
      <c r="G104" s="2067"/>
      <c r="H104" s="1019"/>
      <c r="I104" s="1019"/>
      <c r="J104" s="2503"/>
      <c r="R104" s="589"/>
      <c r="S104" s="589"/>
      <c r="T104" s="589"/>
      <c r="BA104">
        <v>73</v>
      </c>
      <c r="BD104">
        <f t="shared" si="4"/>
        <v>14.880545072785525</v>
      </c>
    </row>
    <row r="105" spans="1:56" ht="15.6" customHeight="1" x14ac:dyDescent="0.2">
      <c r="A105" s="2503"/>
      <c r="B105" s="2068"/>
      <c r="C105" s="28"/>
      <c r="D105" s="2067"/>
      <c r="E105" s="2067"/>
      <c r="F105" s="2067"/>
      <c r="G105" s="2067"/>
      <c r="H105" s="1019"/>
      <c r="I105" s="1019"/>
      <c r="J105" s="2503"/>
      <c r="R105" s="589"/>
      <c r="S105" s="589"/>
      <c r="T105" s="589"/>
      <c r="BA105">
        <v>74</v>
      </c>
      <c r="BD105">
        <f t="shared" si="4"/>
        <v>14.136517819146249</v>
      </c>
    </row>
    <row r="106" spans="1:56" ht="15.6" customHeight="1" x14ac:dyDescent="0.2">
      <c r="A106" s="2503"/>
      <c r="B106" s="2068"/>
      <c r="C106" s="28"/>
      <c r="D106" s="2067"/>
      <c r="E106" s="2067"/>
      <c r="F106" s="2067"/>
      <c r="G106" s="2067"/>
      <c r="H106" s="1019"/>
      <c r="I106" s="1019"/>
      <c r="J106" s="2503"/>
      <c r="R106" s="589"/>
      <c r="S106" s="589"/>
      <c r="T106" s="589"/>
      <c r="BA106">
        <v>75</v>
      </c>
      <c r="BD106">
        <f t="shared" si="4"/>
        <v>13.429691928188937</v>
      </c>
    </row>
    <row r="107" spans="1:56" ht="15.6" customHeight="1" x14ac:dyDescent="0.2">
      <c r="A107" s="2503"/>
      <c r="B107" s="2068"/>
      <c r="C107" s="28"/>
      <c r="D107" s="2067"/>
      <c r="E107" s="2067"/>
      <c r="F107" s="2067"/>
      <c r="G107" s="2067"/>
      <c r="H107" s="1019"/>
      <c r="I107" s="1019"/>
      <c r="J107" s="2503"/>
      <c r="R107" s="589"/>
      <c r="S107" s="589"/>
      <c r="T107" s="589"/>
      <c r="BA107">
        <v>76</v>
      </c>
      <c r="BD107">
        <f t="shared" si="4"/>
        <v>12.75820733177949</v>
      </c>
    </row>
    <row r="108" spans="1:56" ht="15.6" customHeight="1" x14ac:dyDescent="0.2">
      <c r="A108" s="2503"/>
      <c r="B108" s="2068"/>
      <c r="C108" s="28"/>
      <c r="D108" s="2067"/>
      <c r="E108" s="2067"/>
      <c r="F108" s="2067"/>
      <c r="G108" s="2067"/>
      <c r="H108" s="1019"/>
      <c r="I108" s="1019"/>
      <c r="J108" s="2503"/>
      <c r="R108" s="589"/>
      <c r="S108" s="589"/>
      <c r="T108" s="589"/>
      <c r="BA108">
        <v>77</v>
      </c>
      <c r="BD108">
        <f t="shared" si="4"/>
        <v>12.120296965190516</v>
      </c>
    </row>
    <row r="109" spans="1:56" ht="15.6" customHeight="1" x14ac:dyDescent="0.2">
      <c r="A109" s="2503"/>
      <c r="B109" s="2068"/>
      <c r="C109" s="28"/>
      <c r="D109" s="2067"/>
      <c r="E109" s="2067"/>
      <c r="F109" s="2067"/>
      <c r="G109" s="2067"/>
      <c r="H109" s="1019"/>
      <c r="I109" s="1019"/>
      <c r="J109" s="2503"/>
      <c r="R109" s="589"/>
      <c r="S109" s="589"/>
      <c r="T109" s="589"/>
      <c r="BA109">
        <v>78</v>
      </c>
      <c r="BD109">
        <f t="shared" ref="BD109:BD157" si="8">BD108-(BD108*$BE$3%)</f>
        <v>11.514282116930989</v>
      </c>
    </row>
    <row r="110" spans="1:56" ht="15.6" customHeight="1" x14ac:dyDescent="0.2">
      <c r="A110" s="2503"/>
      <c r="B110" s="294" t="s">
        <v>1482</v>
      </c>
      <c r="J110" s="2503"/>
      <c r="N110" s="1515" t="s">
        <v>1011</v>
      </c>
      <c r="O110" t="s">
        <v>823</v>
      </c>
      <c r="Q110" s="589"/>
      <c r="R110" s="589"/>
      <c r="S110" s="589"/>
      <c r="T110" s="589"/>
      <c r="BA110">
        <v>79</v>
      </c>
      <c r="BD110">
        <f t="shared" si="8"/>
        <v>10.93856801108444</v>
      </c>
    </row>
    <row r="111" spans="1:56" ht="12.2" customHeight="1" x14ac:dyDescent="0.2">
      <c r="A111" s="2503"/>
      <c r="J111" s="2503"/>
      <c r="O111" s="3020" t="s">
        <v>1481</v>
      </c>
      <c r="Q111" s="589"/>
      <c r="R111" s="589"/>
      <c r="S111" s="589"/>
      <c r="T111" s="589"/>
      <c r="BA111">
        <v>80</v>
      </c>
      <c r="BD111">
        <f t="shared" si="8"/>
        <v>10.391639610530218</v>
      </c>
    </row>
    <row r="112" spans="1:56" ht="23.25" customHeight="1" x14ac:dyDescent="0.25">
      <c r="A112" s="2503"/>
      <c r="B112" s="4031" t="s">
        <v>1454</v>
      </c>
      <c r="C112" s="4031"/>
      <c r="D112" s="4031"/>
      <c r="E112" s="4031"/>
      <c r="F112" s="4031"/>
      <c r="G112" s="4031"/>
      <c r="H112" s="4031"/>
      <c r="I112" s="4031"/>
      <c r="J112" s="2503"/>
      <c r="O112" s="589"/>
      <c r="P112" s="589"/>
      <c r="Q112" s="589"/>
      <c r="R112" s="589"/>
      <c r="S112" s="589"/>
      <c r="T112" s="589"/>
      <c r="BA112">
        <v>81</v>
      </c>
      <c r="BD112">
        <f t="shared" si="8"/>
        <v>9.8720576300037077</v>
      </c>
    </row>
    <row r="113" spans="1:56" ht="12.75" customHeight="1" x14ac:dyDescent="0.2">
      <c r="A113" s="2503"/>
      <c r="I113" s="3021" t="s">
        <v>1453</v>
      </c>
      <c r="J113" s="2503"/>
      <c r="N113" s="589"/>
      <c r="O113" s="589"/>
      <c r="P113" s="589"/>
      <c r="Q113" s="589"/>
      <c r="R113" s="589"/>
      <c r="S113" s="589"/>
      <c r="T113" s="589"/>
      <c r="BA113">
        <v>82</v>
      </c>
      <c r="BD113">
        <f t="shared" si="8"/>
        <v>9.3784547485035219</v>
      </c>
    </row>
    <row r="114" spans="1:56" ht="35.450000000000003" customHeight="1" x14ac:dyDescent="0.2">
      <c r="A114" s="2503"/>
      <c r="B114" s="2859"/>
      <c r="C114" s="2860"/>
      <c r="D114" s="2860"/>
      <c r="E114" s="612"/>
      <c r="F114" s="2949" t="s">
        <v>1450</v>
      </c>
      <c r="G114" s="2949" t="s">
        <v>1451</v>
      </c>
      <c r="H114" s="2949" t="s">
        <v>1452</v>
      </c>
      <c r="I114" s="2949" t="s">
        <v>1463</v>
      </c>
      <c r="J114" s="2503"/>
      <c r="P114" s="2073"/>
      <c r="Q114" s="2065" t="s">
        <v>824</v>
      </c>
      <c r="R114" s="2074" t="s">
        <v>825</v>
      </c>
      <c r="S114" s="2066" t="s">
        <v>635</v>
      </c>
      <c r="T114" s="589"/>
      <c r="BA114">
        <v>83</v>
      </c>
      <c r="BD114">
        <f t="shared" si="8"/>
        <v>8.9095320110783458</v>
      </c>
    </row>
    <row r="115" spans="1:56" ht="13.7" customHeight="1" x14ac:dyDescent="0.2">
      <c r="A115" s="2503"/>
      <c r="B115" s="2863" t="s">
        <v>1194</v>
      </c>
      <c r="C115" s="2864" t="s">
        <v>1195</v>
      </c>
      <c r="D115" s="2864"/>
      <c r="F115" s="3046" t="s">
        <v>1224</v>
      </c>
      <c r="G115" s="3046" t="s">
        <v>1224</v>
      </c>
      <c r="H115" s="2865"/>
      <c r="I115" s="2865"/>
      <c r="J115" s="2503"/>
      <c r="K115" s="3020"/>
      <c r="P115" s="2075"/>
      <c r="Q115" s="2076"/>
      <c r="R115" s="2077"/>
      <c r="S115" s="2078"/>
      <c r="T115" s="589"/>
      <c r="BA115">
        <v>84</v>
      </c>
      <c r="BD115">
        <f t="shared" si="8"/>
        <v>8.4640554105244288</v>
      </c>
    </row>
    <row r="116" spans="1:56" ht="13.7" customHeight="1" x14ac:dyDescent="0.2">
      <c r="A116" s="2503"/>
      <c r="B116" s="1559" t="s">
        <v>1196</v>
      </c>
      <c r="C116" s="1564" t="s">
        <v>1197</v>
      </c>
      <c r="D116" s="1564"/>
      <c r="F116" s="2866">
        <v>2782</v>
      </c>
      <c r="G116" s="2866">
        <v>62</v>
      </c>
      <c r="H116" s="2866">
        <f t="shared" ref="H116:H168" si="9">F116/G116</f>
        <v>44.87096774193548</v>
      </c>
      <c r="I116" s="2866">
        <v>6697</v>
      </c>
      <c r="J116" s="2503"/>
      <c r="K116" s="3020"/>
      <c r="M116" s="3020" t="s">
        <v>1471</v>
      </c>
      <c r="P116" s="2079"/>
      <c r="Q116" s="1797" t="s">
        <v>961</v>
      </c>
      <c r="R116" s="2080" t="s">
        <v>961</v>
      </c>
      <c r="S116" s="2064" t="s">
        <v>961</v>
      </c>
      <c r="T116" s="589"/>
      <c r="BA116">
        <v>85</v>
      </c>
      <c r="BD116">
        <f t="shared" si="8"/>
        <v>8.0408526399982065</v>
      </c>
    </row>
    <row r="117" spans="1:56" ht="13.7" customHeight="1" x14ac:dyDescent="0.2">
      <c r="A117" s="2503"/>
      <c r="B117" s="1559"/>
      <c r="C117" s="1564" t="s">
        <v>1198</v>
      </c>
      <c r="D117" s="1564"/>
      <c r="F117" s="2866">
        <v>2409</v>
      </c>
      <c r="G117" s="2866">
        <v>76</v>
      </c>
      <c r="H117" s="2866">
        <f t="shared" si="9"/>
        <v>31.69736842105263</v>
      </c>
      <c r="I117" s="2866">
        <v>5573</v>
      </c>
      <c r="J117" s="2503"/>
      <c r="K117" s="3020"/>
      <c r="M117" s="3020" t="s">
        <v>1474</v>
      </c>
      <c r="P117" s="438"/>
      <c r="Q117" s="1019"/>
      <c r="R117" s="487"/>
      <c r="S117" s="2081"/>
      <c r="T117" s="589"/>
      <c r="BA117">
        <v>86</v>
      </c>
      <c r="BD117">
        <f t="shared" si="8"/>
        <v>7.6388100079982966</v>
      </c>
    </row>
    <row r="118" spans="1:56" ht="13.7" customHeight="1" x14ac:dyDescent="0.2">
      <c r="A118" s="2503"/>
      <c r="B118" s="1559"/>
      <c r="C118" s="1564" t="s">
        <v>1199</v>
      </c>
      <c r="D118" s="1564"/>
      <c r="F118" s="2866">
        <v>10385</v>
      </c>
      <c r="G118" s="2866">
        <v>237</v>
      </c>
      <c r="H118" s="2866">
        <f t="shared" si="9"/>
        <v>43.81856540084388</v>
      </c>
      <c r="I118" s="2866">
        <v>6265</v>
      </c>
      <c r="J118" s="2503"/>
      <c r="K118" s="3020"/>
      <c r="P118" s="2082">
        <v>1983</v>
      </c>
      <c r="Q118" s="1019">
        <v>124</v>
      </c>
      <c r="R118" s="487">
        <v>105</v>
      </c>
      <c r="S118" s="2081">
        <v>92</v>
      </c>
      <c r="T118" s="589"/>
      <c r="BA118">
        <v>87</v>
      </c>
      <c r="BD118">
        <f t="shared" si="8"/>
        <v>7.256869507598382</v>
      </c>
    </row>
    <row r="119" spans="1:56" ht="13.7" customHeight="1" x14ac:dyDescent="0.2">
      <c r="A119" s="2503"/>
      <c r="B119" s="1559"/>
      <c r="C119" s="1564" t="s">
        <v>1200</v>
      </c>
      <c r="D119" s="1564"/>
      <c r="F119" s="2866">
        <v>4355</v>
      </c>
      <c r="G119" s="2866">
        <v>104</v>
      </c>
      <c r="H119" s="2866">
        <f t="shared" si="9"/>
        <v>41.875</v>
      </c>
      <c r="I119" s="2866">
        <v>7278</v>
      </c>
      <c r="J119" s="2503"/>
      <c r="K119" s="3020"/>
      <c r="M119" s="3020" t="s">
        <v>1465</v>
      </c>
      <c r="P119" s="2082">
        <v>1991</v>
      </c>
      <c r="Q119" s="1019">
        <v>112</v>
      </c>
      <c r="R119" s="487">
        <v>106</v>
      </c>
      <c r="S119" s="2081">
        <v>72</v>
      </c>
      <c r="T119" s="589"/>
      <c r="BA119">
        <v>88</v>
      </c>
      <c r="BD119">
        <f t="shared" si="8"/>
        <v>6.8940260322184628</v>
      </c>
    </row>
    <row r="120" spans="1:56" ht="13.7" customHeight="1" x14ac:dyDescent="0.2">
      <c r="A120" s="2503"/>
      <c r="B120" s="1559"/>
      <c r="C120" s="1564" t="s">
        <v>1201</v>
      </c>
      <c r="D120" s="1564"/>
      <c r="F120" s="2866">
        <v>6444</v>
      </c>
      <c r="G120" s="2866">
        <v>184</v>
      </c>
      <c r="H120" s="2866">
        <f t="shared" si="9"/>
        <v>35.021739130434781</v>
      </c>
      <c r="I120" s="2866">
        <v>6603</v>
      </c>
      <c r="J120" s="2503"/>
      <c r="K120" s="3020"/>
      <c r="M120" s="3020" t="s">
        <v>1460</v>
      </c>
      <c r="P120" s="2082">
        <v>1992</v>
      </c>
      <c r="Q120" s="1019">
        <v>110</v>
      </c>
      <c r="R120" s="487">
        <v>102</v>
      </c>
      <c r="S120" s="2081">
        <v>70</v>
      </c>
      <c r="T120" s="589"/>
      <c r="BA120">
        <v>89</v>
      </c>
      <c r="BD120">
        <f t="shared" si="8"/>
        <v>6.5493247306075393</v>
      </c>
    </row>
    <row r="121" spans="1:56" ht="13.7" customHeight="1" x14ac:dyDescent="0.2">
      <c r="A121" s="2503"/>
      <c r="B121" s="1559"/>
      <c r="C121" s="1564"/>
      <c r="D121" s="1564"/>
      <c r="F121" s="2866"/>
      <c r="G121" s="2866"/>
      <c r="H121" s="2866"/>
      <c r="I121" s="2870"/>
      <c r="J121" s="2503"/>
      <c r="K121" s="3020"/>
      <c r="P121" s="2082">
        <v>1993</v>
      </c>
      <c r="Q121" s="1019">
        <v>108</v>
      </c>
      <c r="R121" s="487">
        <v>102</v>
      </c>
      <c r="S121" s="2081">
        <v>70</v>
      </c>
      <c r="T121" s="589"/>
      <c r="BA121">
        <v>90</v>
      </c>
      <c r="BD121">
        <f t="shared" si="8"/>
        <v>6.2218584940771624</v>
      </c>
    </row>
    <row r="122" spans="1:56" ht="13.7" customHeight="1" x14ac:dyDescent="0.2">
      <c r="A122" s="2503"/>
      <c r="B122" s="1559" t="s">
        <v>1203</v>
      </c>
      <c r="C122" s="1564" t="s">
        <v>1202</v>
      </c>
      <c r="D122" s="1564"/>
      <c r="F122" s="2866">
        <v>3783</v>
      </c>
      <c r="G122" s="2866">
        <v>86</v>
      </c>
      <c r="H122" s="2866">
        <f t="shared" si="9"/>
        <v>43.988372093023258</v>
      </c>
      <c r="I122" s="2866">
        <v>7394</v>
      </c>
      <c r="J122" s="2503"/>
      <c r="K122" s="3020"/>
      <c r="M122" s="3020" t="s">
        <v>1466</v>
      </c>
      <c r="P122" s="2082">
        <v>1994</v>
      </c>
      <c r="Q122" s="1019">
        <v>107</v>
      </c>
      <c r="R122" s="487">
        <v>98</v>
      </c>
      <c r="S122" s="2081">
        <v>68</v>
      </c>
      <c r="T122" s="589"/>
      <c r="BA122">
        <v>91</v>
      </c>
      <c r="BD122">
        <f t="shared" si="8"/>
        <v>5.9107655693733046</v>
      </c>
    </row>
    <row r="123" spans="1:56" ht="13.7" customHeight="1" x14ac:dyDescent="0.2">
      <c r="A123" s="2503"/>
      <c r="B123" s="1559"/>
      <c r="C123" s="1564" t="s">
        <v>1204</v>
      </c>
      <c r="D123" s="1564"/>
      <c r="F123" s="2866">
        <v>7358</v>
      </c>
      <c r="G123" s="2866">
        <v>174</v>
      </c>
      <c r="H123" s="2866">
        <f t="shared" si="9"/>
        <v>42.287356321839077</v>
      </c>
      <c r="I123" s="2866">
        <v>6480</v>
      </c>
      <c r="J123" s="2503"/>
      <c r="K123" s="3020"/>
      <c r="M123" s="3020" t="s">
        <v>1459</v>
      </c>
      <c r="P123" s="2082">
        <v>1995</v>
      </c>
      <c r="Q123" s="1019">
        <v>108</v>
      </c>
      <c r="R123" s="487">
        <v>100</v>
      </c>
      <c r="S123" s="2081">
        <v>67</v>
      </c>
      <c r="T123" s="589"/>
      <c r="BA123">
        <v>92</v>
      </c>
      <c r="BD123">
        <f t="shared" si="8"/>
        <v>5.615227290904639</v>
      </c>
    </row>
    <row r="124" spans="1:56" ht="13.7" customHeight="1" x14ac:dyDescent="0.2">
      <c r="A124" s="2503"/>
      <c r="B124" s="1559"/>
      <c r="C124" s="1564" t="s">
        <v>1205</v>
      </c>
      <c r="D124" s="1564"/>
      <c r="F124" s="2866">
        <v>21699</v>
      </c>
      <c r="G124" s="2866">
        <v>543</v>
      </c>
      <c r="H124" s="2866">
        <f t="shared" si="9"/>
        <v>39.961325966850829</v>
      </c>
      <c r="I124" s="2866">
        <v>6923</v>
      </c>
      <c r="J124" s="2503"/>
      <c r="K124" s="3020"/>
      <c r="M124" s="3020" t="s">
        <v>1215</v>
      </c>
      <c r="P124" s="2082">
        <v>1996</v>
      </c>
      <c r="Q124" s="1019">
        <v>107</v>
      </c>
      <c r="R124" s="487">
        <v>97</v>
      </c>
      <c r="S124" s="2081">
        <v>66</v>
      </c>
      <c r="T124" s="589"/>
      <c r="BA124">
        <v>93</v>
      </c>
      <c r="BD124">
        <f t="shared" si="8"/>
        <v>5.3344659263594068</v>
      </c>
    </row>
    <row r="125" spans="1:56" ht="13.7" customHeight="1" x14ac:dyDescent="0.2">
      <c r="A125" s="2503"/>
      <c r="B125" s="1559"/>
      <c r="C125" s="1564" t="s">
        <v>1206</v>
      </c>
      <c r="D125" s="1564"/>
      <c r="F125" s="2866">
        <v>6895</v>
      </c>
      <c r="G125" s="2866">
        <v>197</v>
      </c>
      <c r="H125" s="2866">
        <f t="shared" si="9"/>
        <v>35</v>
      </c>
      <c r="I125" s="2866">
        <v>6958</v>
      </c>
      <c r="J125" s="2503"/>
      <c r="K125" s="3020"/>
      <c r="M125" s="3020" t="s">
        <v>1461</v>
      </c>
      <c r="P125" s="2082">
        <v>1997</v>
      </c>
      <c r="Q125" s="1019">
        <v>107</v>
      </c>
      <c r="R125" s="487">
        <v>97</v>
      </c>
      <c r="S125" s="2081">
        <v>66</v>
      </c>
      <c r="T125" s="589"/>
      <c r="BA125">
        <v>94</v>
      </c>
      <c r="BD125">
        <f t="shared" si="8"/>
        <v>5.0677426300414368</v>
      </c>
    </row>
    <row r="126" spans="1:56" ht="13.7" customHeight="1" x14ac:dyDescent="0.2">
      <c r="A126" s="2503"/>
      <c r="B126" s="1559"/>
      <c r="C126" s="1564" t="s">
        <v>1207</v>
      </c>
      <c r="D126" s="1564"/>
      <c r="F126" s="2866">
        <v>6988</v>
      </c>
      <c r="G126" s="2866">
        <v>168</v>
      </c>
      <c r="H126" s="2866">
        <f t="shared" si="9"/>
        <v>41.595238095238095</v>
      </c>
      <c r="I126" s="2866">
        <v>6267</v>
      </c>
      <c r="J126" s="2503"/>
      <c r="K126" s="3020"/>
      <c r="M126" s="3020" t="s">
        <v>1462</v>
      </c>
      <c r="P126" s="2082">
        <v>1998</v>
      </c>
      <c r="Q126" s="1019">
        <v>108</v>
      </c>
      <c r="R126" s="487">
        <v>98</v>
      </c>
      <c r="S126" s="2081">
        <v>67</v>
      </c>
      <c r="BA126">
        <v>95</v>
      </c>
      <c r="BD126">
        <f t="shared" si="8"/>
        <v>4.8143554985393653</v>
      </c>
    </row>
    <row r="127" spans="1:56" ht="13.7" customHeight="1" x14ac:dyDescent="0.2">
      <c r="A127" s="2503"/>
      <c r="B127" s="1559"/>
      <c r="C127" s="1564" t="s">
        <v>1208</v>
      </c>
      <c r="D127" s="1564"/>
      <c r="F127" s="2866">
        <v>25115</v>
      </c>
      <c r="G127" s="2866">
        <v>592</v>
      </c>
      <c r="H127" s="2866">
        <f t="shared" si="9"/>
        <v>42.423986486486484</v>
      </c>
      <c r="I127" s="2866">
        <v>7366</v>
      </c>
      <c r="J127" s="2503"/>
      <c r="K127" s="3020"/>
      <c r="M127" s="3020" t="s">
        <v>1456</v>
      </c>
      <c r="P127" s="2082">
        <v>1999</v>
      </c>
      <c r="Q127" s="1019">
        <v>108</v>
      </c>
      <c r="R127" s="487">
        <v>98</v>
      </c>
      <c r="S127" s="2081">
        <v>61</v>
      </c>
      <c r="BA127">
        <v>96</v>
      </c>
      <c r="BD127">
        <f t="shared" si="8"/>
        <v>4.5736377236123973</v>
      </c>
    </row>
    <row r="128" spans="1:56" ht="13.7" customHeight="1" x14ac:dyDescent="0.2">
      <c r="A128" s="2503"/>
      <c r="B128" s="2867" t="s">
        <v>0</v>
      </c>
      <c r="C128" s="2860"/>
      <c r="D128" s="2860"/>
      <c r="E128" s="611"/>
      <c r="F128" s="2940">
        <v>98671</v>
      </c>
      <c r="G128" s="2940">
        <v>2439</v>
      </c>
      <c r="H128" s="2940">
        <f t="shared" si="9"/>
        <v>40.455514555145548</v>
      </c>
      <c r="I128" s="2940">
        <v>6855</v>
      </c>
      <c r="J128" s="2503"/>
      <c r="K128" s="3020"/>
      <c r="L128" s="1516"/>
      <c r="P128" s="2082">
        <v>2000</v>
      </c>
      <c r="Q128" s="1019">
        <v>108</v>
      </c>
      <c r="R128" s="487">
        <v>101</v>
      </c>
      <c r="S128" s="2081">
        <v>64</v>
      </c>
      <c r="BA128">
        <v>97</v>
      </c>
      <c r="BD128">
        <f t="shared" si="8"/>
        <v>4.3449558374317778</v>
      </c>
    </row>
    <row r="129" spans="1:56" ht="4.7" customHeight="1" x14ac:dyDescent="0.2">
      <c r="A129" s="2503"/>
      <c r="B129" s="294"/>
      <c r="C129" s="294"/>
      <c r="D129" s="294"/>
      <c r="F129" s="2869"/>
      <c r="G129" s="2869"/>
      <c r="H129" s="2869"/>
      <c r="I129" s="2869"/>
      <c r="J129" s="2503"/>
      <c r="P129" s="2082">
        <v>2001</v>
      </c>
      <c r="Q129" s="1019">
        <v>107</v>
      </c>
      <c r="R129" s="487">
        <v>101</v>
      </c>
      <c r="S129" s="2081">
        <v>63</v>
      </c>
      <c r="BA129">
        <v>98</v>
      </c>
      <c r="BD129">
        <f t="shared" si="8"/>
        <v>4.1277080455601887</v>
      </c>
    </row>
    <row r="130" spans="1:56" ht="14.25" customHeight="1" x14ac:dyDescent="0.2">
      <c r="A130" s="2503"/>
      <c r="B130" s="294"/>
      <c r="C130" s="294"/>
      <c r="D130" s="294"/>
      <c r="F130" s="2869"/>
      <c r="G130" s="2869"/>
      <c r="H130" s="2869"/>
      <c r="I130" s="2869"/>
      <c r="J130" s="2503"/>
      <c r="P130" s="2083">
        <v>2002</v>
      </c>
      <c r="Q130" s="2076">
        <v>110</v>
      </c>
      <c r="R130" s="2077">
        <v>99</v>
      </c>
      <c r="S130" s="2078">
        <v>63</v>
      </c>
      <c r="BA130">
        <v>99</v>
      </c>
      <c r="BD130">
        <f t="shared" si="8"/>
        <v>3.9213226432821791</v>
      </c>
    </row>
    <row r="131" spans="1:56" ht="13.7" customHeight="1" x14ac:dyDescent="0.2">
      <c r="A131" s="2503"/>
      <c r="B131" s="2863" t="s">
        <v>1194</v>
      </c>
      <c r="C131" s="2864" t="s">
        <v>1</v>
      </c>
      <c r="D131" s="2864"/>
      <c r="E131" s="259"/>
      <c r="F131" s="3046" t="s">
        <v>1224</v>
      </c>
      <c r="G131" s="3046" t="s">
        <v>1224</v>
      </c>
      <c r="H131" s="2865"/>
      <c r="I131" s="2865"/>
      <c r="J131" s="2503"/>
      <c r="P131" s="2083">
        <v>2003</v>
      </c>
      <c r="Q131" s="2076">
        <v>109</v>
      </c>
      <c r="R131" s="2077">
        <v>102</v>
      </c>
      <c r="S131" s="2078">
        <v>63</v>
      </c>
      <c r="BA131">
        <v>100</v>
      </c>
      <c r="BD131">
        <f t="shared" si="8"/>
        <v>3.72525651111807</v>
      </c>
    </row>
    <row r="132" spans="1:56" ht="13.7" customHeight="1" x14ac:dyDescent="0.2">
      <c r="A132" s="2503"/>
      <c r="B132" s="1559"/>
      <c r="C132" s="1564" t="s">
        <v>2</v>
      </c>
      <c r="D132" s="1564"/>
      <c r="F132" s="2870" t="s">
        <v>1224</v>
      </c>
      <c r="G132" s="2870" t="s">
        <v>1224</v>
      </c>
      <c r="H132" s="2866"/>
      <c r="I132" s="2866"/>
      <c r="J132" s="2503"/>
      <c r="P132" s="2083">
        <v>2004</v>
      </c>
      <c r="Q132" s="2076">
        <v>107</v>
      </c>
      <c r="R132" s="2077">
        <v>101</v>
      </c>
      <c r="S132" s="2078">
        <v>61</v>
      </c>
      <c r="BA132">
        <v>101</v>
      </c>
      <c r="BD132">
        <f t="shared" si="8"/>
        <v>3.5389936855621666</v>
      </c>
    </row>
    <row r="133" spans="1:56" ht="13.7" customHeight="1" x14ac:dyDescent="0.2">
      <c r="A133" s="2503"/>
      <c r="B133" s="1559" t="s">
        <v>1203</v>
      </c>
      <c r="C133" s="1564" t="s">
        <v>2</v>
      </c>
      <c r="D133" s="1564"/>
      <c r="F133" s="2866">
        <v>1349</v>
      </c>
      <c r="G133" s="2866">
        <v>21</v>
      </c>
      <c r="H133" s="2866">
        <f t="shared" si="9"/>
        <v>64.238095238095241</v>
      </c>
      <c r="I133" s="2866">
        <v>5949</v>
      </c>
      <c r="J133" s="2503"/>
      <c r="K133" s="3020"/>
      <c r="L133" s="3020"/>
      <c r="M133" s="3020" t="s">
        <v>1475</v>
      </c>
      <c r="P133" s="2083">
        <v>2005</v>
      </c>
      <c r="Q133" s="2076">
        <v>108</v>
      </c>
      <c r="R133" s="2077">
        <v>100</v>
      </c>
      <c r="S133" s="2078">
        <v>60</v>
      </c>
      <c r="BA133">
        <v>102</v>
      </c>
      <c r="BD133">
        <f t="shared" si="8"/>
        <v>3.3620440012840582</v>
      </c>
    </row>
    <row r="134" spans="1:56" ht="13.7" customHeight="1" x14ac:dyDescent="0.2">
      <c r="A134" s="2503"/>
      <c r="B134" s="1559"/>
      <c r="C134" s="1564" t="s">
        <v>3</v>
      </c>
      <c r="D134" s="1564"/>
      <c r="F134" s="2866">
        <v>379</v>
      </c>
      <c r="G134" s="2866">
        <v>17</v>
      </c>
      <c r="H134" s="2866">
        <f t="shared" si="9"/>
        <v>22.294117647058822</v>
      </c>
      <c r="I134" s="2866">
        <v>5479</v>
      </c>
      <c r="J134" s="2503"/>
      <c r="K134" s="3020"/>
      <c r="L134" s="3020"/>
      <c r="M134" s="3020" t="s">
        <v>1476</v>
      </c>
      <c r="P134" s="2083">
        <v>2006</v>
      </c>
      <c r="Q134" s="2076">
        <v>107</v>
      </c>
      <c r="R134" s="2077">
        <v>98</v>
      </c>
      <c r="S134" s="2078">
        <v>60</v>
      </c>
      <c r="BA134">
        <v>103</v>
      </c>
      <c r="BD134">
        <f t="shared" si="8"/>
        <v>3.1939418012198555</v>
      </c>
    </row>
    <row r="135" spans="1:56" ht="13.7" customHeight="1" x14ac:dyDescent="0.2">
      <c r="A135" s="2503"/>
      <c r="B135" s="1559" t="s">
        <v>1194</v>
      </c>
      <c r="C135" s="1564" t="s">
        <v>1468</v>
      </c>
      <c r="D135" s="1564"/>
      <c r="F135" s="2870">
        <v>3673</v>
      </c>
      <c r="G135" s="2870">
        <v>97</v>
      </c>
      <c r="H135" s="2866">
        <f t="shared" si="9"/>
        <v>37.865979381443296</v>
      </c>
      <c r="I135" s="2866">
        <v>7482</v>
      </c>
      <c r="J135" s="2503"/>
      <c r="L135" s="3020"/>
      <c r="M135" s="3020" t="s">
        <v>1469</v>
      </c>
      <c r="P135" s="2083">
        <v>2007</v>
      </c>
      <c r="Q135" s="2076">
        <v>109</v>
      </c>
      <c r="R135" s="2077">
        <v>107</v>
      </c>
      <c r="S135" s="2078">
        <v>59</v>
      </c>
      <c r="BA135">
        <v>104</v>
      </c>
      <c r="BD135">
        <f t="shared" si="8"/>
        <v>3.0342447111588626</v>
      </c>
    </row>
    <row r="136" spans="1:56" ht="13.7" customHeight="1" x14ac:dyDescent="0.2">
      <c r="A136" s="2503"/>
      <c r="B136" s="1559"/>
      <c r="C136" s="1564" t="s">
        <v>1477</v>
      </c>
      <c r="D136" s="1564"/>
      <c r="F136" s="2870"/>
      <c r="G136" s="2870"/>
      <c r="H136" s="2870"/>
      <c r="I136" s="2870"/>
      <c r="J136" s="2503"/>
      <c r="L136" s="3020"/>
      <c r="P136" s="2083">
        <v>2008</v>
      </c>
      <c r="Q136" s="2076">
        <v>109</v>
      </c>
      <c r="R136" s="2077">
        <v>108</v>
      </c>
      <c r="S136" s="2078">
        <v>63</v>
      </c>
      <c r="BA136">
        <v>105</v>
      </c>
      <c r="BD136">
        <f t="shared" si="8"/>
        <v>2.8825324756009194</v>
      </c>
    </row>
    <row r="137" spans="1:56" ht="13.7" customHeight="1" x14ac:dyDescent="0.2">
      <c r="A137" s="2503"/>
      <c r="B137" s="1559" t="s">
        <v>1203</v>
      </c>
      <c r="C137" s="1564" t="s">
        <v>5</v>
      </c>
      <c r="D137" s="1564"/>
      <c r="F137" s="2866">
        <v>7488</v>
      </c>
      <c r="G137" s="2866">
        <v>168</v>
      </c>
      <c r="H137" s="2866">
        <f t="shared" si="9"/>
        <v>44.571428571428569</v>
      </c>
      <c r="I137" s="2866">
        <v>6863</v>
      </c>
      <c r="J137" s="2503"/>
      <c r="K137" s="3020"/>
      <c r="L137" s="3020"/>
      <c r="M137" s="3020" t="s">
        <v>1226</v>
      </c>
      <c r="P137" s="2083">
        <v>2009</v>
      </c>
      <c r="Q137" s="2076">
        <v>109</v>
      </c>
      <c r="R137" s="2077">
        <v>101</v>
      </c>
      <c r="S137" s="2078">
        <v>57</v>
      </c>
      <c r="BA137">
        <v>106</v>
      </c>
      <c r="BD137">
        <f t="shared" si="8"/>
        <v>2.7384058518208736</v>
      </c>
    </row>
    <row r="138" spans="1:56" ht="13.7" customHeight="1" x14ac:dyDescent="0.2">
      <c r="A138" s="2503"/>
      <c r="B138" s="1559"/>
      <c r="C138" s="1564"/>
      <c r="D138" s="1564"/>
      <c r="F138" s="2866"/>
      <c r="G138" s="2866"/>
      <c r="H138" s="2866"/>
      <c r="I138" s="2866"/>
      <c r="J138" s="2503"/>
      <c r="K138" s="3020"/>
      <c r="L138" s="3020"/>
      <c r="P138" s="2083">
        <v>2010</v>
      </c>
      <c r="Q138" s="2076">
        <v>109</v>
      </c>
      <c r="R138" s="2077">
        <v>101</v>
      </c>
      <c r="S138" s="2078">
        <v>57</v>
      </c>
      <c r="BA138">
        <v>107</v>
      </c>
      <c r="BD138">
        <f t="shared" si="8"/>
        <v>2.6014855592298298</v>
      </c>
    </row>
    <row r="139" spans="1:56" ht="13.7" customHeight="1" x14ac:dyDescent="0.2">
      <c r="A139" s="2503"/>
      <c r="B139" s="1559" t="s">
        <v>1194</v>
      </c>
      <c r="C139" s="1564" t="s">
        <v>6</v>
      </c>
      <c r="D139" s="1564"/>
      <c r="F139" s="2870" t="s">
        <v>1224</v>
      </c>
      <c r="G139" s="2870" t="s">
        <v>1224</v>
      </c>
      <c r="H139" s="2866"/>
      <c r="I139" s="2870"/>
      <c r="J139" s="2503"/>
      <c r="L139" s="3020"/>
      <c r="M139" s="3020"/>
      <c r="P139" s="2083">
        <v>2011</v>
      </c>
      <c r="Q139" s="2077">
        <v>111</v>
      </c>
      <c r="R139" s="2077">
        <v>103</v>
      </c>
      <c r="S139" s="2077">
        <v>59</v>
      </c>
      <c r="BA139">
        <v>108</v>
      </c>
      <c r="BD139">
        <f t="shared" si="8"/>
        <v>2.4714112812683382</v>
      </c>
    </row>
    <row r="140" spans="1:56" ht="13.7" customHeight="1" x14ac:dyDescent="0.2">
      <c r="A140" s="2503"/>
      <c r="B140" s="1559" t="s">
        <v>1203</v>
      </c>
      <c r="C140" s="1564" t="s">
        <v>7</v>
      </c>
      <c r="D140" s="1564"/>
      <c r="F140" s="2866">
        <v>3204</v>
      </c>
      <c r="G140" s="2866">
        <v>62</v>
      </c>
      <c r="H140" s="2866">
        <f t="shared" si="9"/>
        <v>51.677419354838712</v>
      </c>
      <c r="I140" s="2866">
        <v>6693</v>
      </c>
      <c r="J140" s="2503"/>
      <c r="K140" s="3020"/>
      <c r="L140" s="3020"/>
      <c r="M140" s="3020" t="s">
        <v>1470</v>
      </c>
      <c r="P140" s="2083">
        <v>2012</v>
      </c>
      <c r="Q140" s="2077">
        <v>111</v>
      </c>
      <c r="R140" s="2077">
        <v>102</v>
      </c>
      <c r="S140" s="2077">
        <v>56</v>
      </c>
      <c r="BA140">
        <v>109</v>
      </c>
      <c r="BD140">
        <f t="shared" si="8"/>
        <v>2.3478407172049214</v>
      </c>
    </row>
    <row r="141" spans="1:56" ht="13.7" customHeight="1" x14ac:dyDescent="0.2">
      <c r="A141" s="2503"/>
      <c r="B141" s="1559"/>
      <c r="C141" s="1564" t="s">
        <v>8</v>
      </c>
      <c r="D141" s="1564"/>
      <c r="F141" s="2866">
        <v>2953</v>
      </c>
      <c r="G141" s="2866">
        <v>59</v>
      </c>
      <c r="H141" s="2866"/>
      <c r="I141" s="2866">
        <v>7054</v>
      </c>
      <c r="J141" s="2503"/>
      <c r="K141" s="3020"/>
      <c r="L141" s="3020"/>
      <c r="M141" s="3020" t="s">
        <v>1225</v>
      </c>
      <c r="P141" s="2083">
        <v>2013</v>
      </c>
      <c r="Q141" s="2077">
        <v>112</v>
      </c>
      <c r="R141" s="3786" t="s">
        <v>1224</v>
      </c>
      <c r="S141" s="2077">
        <v>59</v>
      </c>
      <c r="BA141">
        <v>110</v>
      </c>
      <c r="BD141">
        <f>BD140-(BD140*$BE$3%)</f>
        <v>2.2304486813446753</v>
      </c>
    </row>
    <row r="142" spans="1:56" ht="13.7" customHeight="1" x14ac:dyDescent="0.2">
      <c r="A142" s="2503"/>
      <c r="B142" s="2861"/>
      <c r="C142" s="2862" t="s">
        <v>9</v>
      </c>
      <c r="D142" s="2862"/>
      <c r="F142" s="2871">
        <v>4051</v>
      </c>
      <c r="G142" s="2871">
        <v>96</v>
      </c>
      <c r="H142" s="2871">
        <f t="shared" si="9"/>
        <v>42.197916666666664</v>
      </c>
      <c r="I142" s="2871">
        <v>6659</v>
      </c>
      <c r="J142" s="2503"/>
      <c r="K142" s="3020"/>
      <c r="L142" s="3020"/>
      <c r="M142" s="3020" t="s">
        <v>1478</v>
      </c>
      <c r="P142" s="2083">
        <v>2014</v>
      </c>
      <c r="Q142" s="2077">
        <v>114</v>
      </c>
      <c r="R142" s="3786" t="s">
        <v>1224</v>
      </c>
      <c r="S142" s="2077">
        <v>60</v>
      </c>
      <c r="BA142">
        <v>111</v>
      </c>
      <c r="BD142">
        <f>BD141-(BD141*$BE$3%)</f>
        <v>2.1189262472774417</v>
      </c>
    </row>
    <row r="143" spans="1:56" ht="13.7" hidden="1" customHeight="1" x14ac:dyDescent="0.2">
      <c r="A143" s="2503"/>
      <c r="B143" s="2859"/>
      <c r="C143" s="2860"/>
      <c r="D143" s="2860"/>
      <c r="E143" s="259"/>
      <c r="F143" s="2868"/>
      <c r="G143" s="2868"/>
      <c r="H143" s="2868"/>
      <c r="I143" s="2868"/>
      <c r="J143" s="2503"/>
      <c r="L143" s="3020" t="s">
        <v>1224</v>
      </c>
      <c r="BA143">
        <v>112</v>
      </c>
      <c r="BD143">
        <f t="shared" si="8"/>
        <v>2.0129799349135697</v>
      </c>
    </row>
    <row r="144" spans="1:56" ht="13.7" customHeight="1" x14ac:dyDescent="0.2">
      <c r="A144" s="2503"/>
      <c r="B144" s="2867" t="s">
        <v>10</v>
      </c>
      <c r="C144" s="2860"/>
      <c r="D144" s="2860"/>
      <c r="E144" s="259"/>
      <c r="F144" s="2940">
        <v>23696</v>
      </c>
      <c r="G144" s="2940">
        <v>530</v>
      </c>
      <c r="H144" s="2940">
        <f t="shared" si="9"/>
        <v>44.70943396226415</v>
      </c>
      <c r="I144" s="2940">
        <v>6849</v>
      </c>
      <c r="J144" s="2503"/>
      <c r="L144" s="3020"/>
      <c r="BA144">
        <v>113</v>
      </c>
      <c r="BD144">
        <f t="shared" si="8"/>
        <v>1.9123309381678912</v>
      </c>
    </row>
    <row r="145" spans="1:56" ht="12.2" customHeight="1" x14ac:dyDescent="0.2">
      <c r="A145" s="2503"/>
      <c r="B145" s="294"/>
      <c r="C145" s="294"/>
      <c r="D145" s="294"/>
      <c r="E145" s="611"/>
      <c r="F145" s="2869"/>
      <c r="G145" s="2869"/>
      <c r="H145" s="2869"/>
      <c r="I145" s="2869"/>
      <c r="J145" s="2503"/>
      <c r="L145" s="3020"/>
      <c r="BA145">
        <v>114</v>
      </c>
      <c r="BD145">
        <f t="shared" si="8"/>
        <v>1.8167143912594967</v>
      </c>
    </row>
    <row r="146" spans="1:56" ht="13.7" customHeight="1" x14ac:dyDescent="0.2">
      <c r="A146" s="2503"/>
      <c r="B146" s="2863" t="s">
        <v>1194</v>
      </c>
      <c r="C146" s="2864" t="s">
        <v>11</v>
      </c>
      <c r="D146" s="2864"/>
      <c r="F146" s="2865">
        <v>92</v>
      </c>
      <c r="G146" s="2865">
        <v>5</v>
      </c>
      <c r="H146" s="2865">
        <f t="shared" si="9"/>
        <v>18.399999999999999</v>
      </c>
      <c r="I146" s="2865"/>
      <c r="J146" s="2503"/>
      <c r="L146" s="3020"/>
      <c r="BA146">
        <v>115</v>
      </c>
      <c r="BD146">
        <f t="shared" si="8"/>
        <v>1.725878671696522</v>
      </c>
    </row>
    <row r="147" spans="1:56" ht="13.7" customHeight="1" x14ac:dyDescent="0.2">
      <c r="A147" s="2503"/>
      <c r="B147" s="1559" t="s">
        <v>1203</v>
      </c>
      <c r="C147" s="1564" t="s">
        <v>12</v>
      </c>
      <c r="D147" s="1564"/>
      <c r="F147" s="2866">
        <v>9778</v>
      </c>
      <c r="G147" s="2866">
        <v>395</v>
      </c>
      <c r="H147" s="2866">
        <f t="shared" si="9"/>
        <v>24.754430379746836</v>
      </c>
      <c r="I147" s="2866">
        <v>5970</v>
      </c>
      <c r="J147" s="2503"/>
      <c r="K147" s="3020"/>
      <c r="L147" s="3020"/>
      <c r="M147" t="s">
        <v>1259</v>
      </c>
      <c r="BA147">
        <v>116</v>
      </c>
      <c r="BD147">
        <f t="shared" si="8"/>
        <v>1.6395847381116959</v>
      </c>
    </row>
    <row r="148" spans="1:56" ht="13.7" customHeight="1" x14ac:dyDescent="0.2">
      <c r="A148" s="2503"/>
      <c r="B148" s="1559"/>
      <c r="C148" s="1564" t="s">
        <v>13</v>
      </c>
      <c r="D148" s="1564"/>
      <c r="F148" s="2866">
        <v>3390</v>
      </c>
      <c r="G148" s="2866">
        <v>162</v>
      </c>
      <c r="H148" s="2866">
        <f t="shared" si="9"/>
        <v>20.925925925925927</v>
      </c>
      <c r="I148" s="2866">
        <v>5489</v>
      </c>
      <c r="J148" s="2503"/>
      <c r="K148" s="3020"/>
      <c r="L148" s="3020"/>
      <c r="M148" s="3020" t="s">
        <v>1472</v>
      </c>
      <c r="BA148">
        <v>117</v>
      </c>
      <c r="BD148">
        <f t="shared" si="8"/>
        <v>1.5576055012061112</v>
      </c>
    </row>
    <row r="149" spans="1:56" ht="13.7" customHeight="1" x14ac:dyDescent="0.2">
      <c r="A149" s="2503"/>
      <c r="B149" s="1559"/>
      <c r="C149" s="1564" t="s">
        <v>14</v>
      </c>
      <c r="D149" s="1564"/>
      <c r="F149" s="2866">
        <v>7351</v>
      </c>
      <c r="G149" s="2866">
        <v>417</v>
      </c>
      <c r="H149" s="2866">
        <f t="shared" si="9"/>
        <v>17.628297362110313</v>
      </c>
      <c r="I149" s="2866">
        <v>5340</v>
      </c>
      <c r="J149" s="2503"/>
      <c r="K149" s="3020"/>
      <c r="L149" s="3020"/>
      <c r="M149" t="s">
        <v>1257</v>
      </c>
      <c r="BA149">
        <v>118</v>
      </c>
      <c r="BD149">
        <f t="shared" si="8"/>
        <v>1.4797252261458056</v>
      </c>
    </row>
    <row r="150" spans="1:56" ht="13.7" customHeight="1" x14ac:dyDescent="0.2">
      <c r="A150" s="2503"/>
      <c r="B150" s="1559"/>
      <c r="C150" s="1564" t="s">
        <v>15</v>
      </c>
      <c r="D150" s="1564"/>
      <c r="F150" s="2866">
        <v>4831</v>
      </c>
      <c r="G150" s="2866">
        <v>181</v>
      </c>
      <c r="H150" s="2866">
        <f t="shared" si="9"/>
        <v>26.69060773480663</v>
      </c>
      <c r="I150" s="2866">
        <v>5984</v>
      </c>
      <c r="J150" s="2503"/>
      <c r="K150" s="3020"/>
      <c r="L150" s="3020"/>
      <c r="M150" s="3020" t="s">
        <v>1467</v>
      </c>
      <c r="BA150">
        <v>119</v>
      </c>
      <c r="BD150">
        <f t="shared" si="8"/>
        <v>1.4057389648385152</v>
      </c>
    </row>
    <row r="151" spans="1:56" ht="13.7" customHeight="1" x14ac:dyDescent="0.2">
      <c r="A151" s="2503"/>
      <c r="B151" s="1559"/>
      <c r="C151" s="1564" t="s">
        <v>16</v>
      </c>
      <c r="D151" s="1564"/>
      <c r="F151" s="2866">
        <v>12463</v>
      </c>
      <c r="G151" s="2866">
        <v>404</v>
      </c>
      <c r="H151" s="2866">
        <f t="shared" si="9"/>
        <v>30.849009900990097</v>
      </c>
      <c r="I151" s="2866">
        <v>6137</v>
      </c>
      <c r="J151" s="2503"/>
      <c r="K151" s="3020"/>
      <c r="L151" s="3020"/>
      <c r="M151" t="s">
        <v>1258</v>
      </c>
      <c r="BA151">
        <v>120</v>
      </c>
      <c r="BD151">
        <f t="shared" si="8"/>
        <v>1.3354520165965895</v>
      </c>
    </row>
    <row r="152" spans="1:56" ht="13.7" customHeight="1" x14ac:dyDescent="0.2">
      <c r="A152" s="2503"/>
      <c r="B152" s="1559"/>
      <c r="C152" s="1564" t="s">
        <v>17</v>
      </c>
      <c r="D152" s="1564"/>
      <c r="F152" s="2866">
        <v>5925</v>
      </c>
      <c r="G152" s="2866">
        <v>101</v>
      </c>
      <c r="H152" s="2866">
        <f t="shared" si="9"/>
        <v>58.663366336633665</v>
      </c>
      <c r="I152" s="2866">
        <v>7040</v>
      </c>
      <c r="J152" s="2503"/>
      <c r="K152" s="3020"/>
      <c r="L152" s="3020"/>
      <c r="M152" s="3020" t="s">
        <v>1464</v>
      </c>
      <c r="BA152">
        <v>121</v>
      </c>
      <c r="BD152">
        <f t="shared" si="8"/>
        <v>1.26867941576676</v>
      </c>
    </row>
    <row r="153" spans="1:56" ht="13.7" customHeight="1" x14ac:dyDescent="0.2">
      <c r="A153" s="2503"/>
      <c r="B153" s="1559"/>
      <c r="C153" s="1564" t="s">
        <v>18</v>
      </c>
      <c r="D153" s="1564"/>
      <c r="F153" s="2866">
        <v>9621</v>
      </c>
      <c r="G153" s="2866">
        <v>193</v>
      </c>
      <c r="H153" s="2866">
        <f t="shared" si="9"/>
        <v>49.84974093264249</v>
      </c>
      <c r="I153" s="2866">
        <v>6744</v>
      </c>
      <c r="J153" s="2503"/>
      <c r="K153" s="3020"/>
      <c r="L153" s="3020"/>
      <c r="M153" t="s">
        <v>1260</v>
      </c>
      <c r="BA153">
        <v>122</v>
      </c>
      <c r="BD153">
        <f t="shared" si="8"/>
        <v>1.205245444978422</v>
      </c>
    </row>
    <row r="154" spans="1:56" ht="13.7" customHeight="1" x14ac:dyDescent="0.2">
      <c r="A154" s="2503"/>
      <c r="B154" s="1559"/>
      <c r="C154" s="1564" t="s">
        <v>19</v>
      </c>
      <c r="D154" s="1564"/>
      <c r="F154" s="2866">
        <v>3241</v>
      </c>
      <c r="G154" s="2866">
        <v>137</v>
      </c>
      <c r="H154" s="2866">
        <f t="shared" si="9"/>
        <v>23.656934306569344</v>
      </c>
      <c r="I154" s="2866">
        <v>5311</v>
      </c>
      <c r="J154" s="2503"/>
      <c r="K154" s="3020"/>
      <c r="L154" s="3020"/>
      <c r="M154" s="3020" t="s">
        <v>1473</v>
      </c>
      <c r="BA154">
        <v>123</v>
      </c>
      <c r="BD154">
        <f t="shared" si="8"/>
        <v>1.144983172729501</v>
      </c>
    </row>
    <row r="155" spans="1:56" ht="13.7" customHeight="1" x14ac:dyDescent="0.2">
      <c r="A155" s="2503"/>
      <c r="B155" s="1559"/>
      <c r="C155" s="1564" t="s">
        <v>20</v>
      </c>
      <c r="D155" s="1564"/>
      <c r="F155" s="2866">
        <v>10686</v>
      </c>
      <c r="G155" s="2866">
        <v>290</v>
      </c>
      <c r="H155" s="2866">
        <f t="shared" si="9"/>
        <v>36.848275862068967</v>
      </c>
      <c r="I155" s="2866">
        <v>6591</v>
      </c>
      <c r="J155" s="2503"/>
      <c r="K155" s="3020"/>
      <c r="L155" s="3020"/>
      <c r="M155" t="s">
        <v>1261</v>
      </c>
      <c r="BA155">
        <v>124</v>
      </c>
      <c r="BD155">
        <f t="shared" si="8"/>
        <v>1.0877340140930261</v>
      </c>
    </row>
    <row r="156" spans="1:56" ht="13.7" customHeight="1" x14ac:dyDescent="0.2">
      <c r="A156" s="2503"/>
      <c r="B156" s="2867" t="s">
        <v>21</v>
      </c>
      <c r="C156" s="2860"/>
      <c r="D156" s="2860"/>
      <c r="E156" s="259"/>
      <c r="F156" s="2940">
        <v>67268</v>
      </c>
      <c r="G156" s="2940">
        <v>2280</v>
      </c>
      <c r="H156" s="2940">
        <f t="shared" si="9"/>
        <v>29.503508771929823</v>
      </c>
      <c r="I156" s="2940">
        <v>6182</v>
      </c>
      <c r="J156" s="2503"/>
      <c r="L156" s="3020"/>
      <c r="BA156">
        <v>125</v>
      </c>
      <c r="BD156">
        <f t="shared" si="8"/>
        <v>1.0333473133883748</v>
      </c>
    </row>
    <row r="157" spans="1:56" ht="8.4499999999999993" customHeight="1" x14ac:dyDescent="0.2">
      <c r="A157" s="2503"/>
      <c r="B157" s="294"/>
      <c r="C157" s="294"/>
      <c r="D157" s="294"/>
      <c r="E157" s="611"/>
      <c r="F157" s="2869"/>
      <c r="G157" s="2869"/>
      <c r="H157" s="2869"/>
      <c r="I157" s="2869"/>
      <c r="J157" s="2503"/>
      <c r="L157" s="3020"/>
      <c r="BA157">
        <v>126</v>
      </c>
      <c r="BD157">
        <f t="shared" si="8"/>
        <v>0.98167994771895606</v>
      </c>
    </row>
    <row r="158" spans="1:56" ht="13.7" customHeight="1" x14ac:dyDescent="0.2">
      <c r="A158" s="2503"/>
      <c r="B158" s="2863" t="s">
        <v>1203</v>
      </c>
      <c r="C158" s="2864" t="s">
        <v>22</v>
      </c>
      <c r="D158" s="2864"/>
      <c r="F158" s="2865">
        <v>8208</v>
      </c>
      <c r="G158" s="2865">
        <v>179</v>
      </c>
      <c r="H158" s="2865">
        <f t="shared" si="9"/>
        <v>45.854748603351958</v>
      </c>
      <c r="I158" s="2865">
        <v>6692</v>
      </c>
      <c r="J158" s="2503"/>
      <c r="L158" s="3020"/>
      <c r="M158" s="3020" t="s">
        <v>1458</v>
      </c>
    </row>
    <row r="159" spans="1:56" ht="13.7" customHeight="1" x14ac:dyDescent="0.2">
      <c r="A159" s="2503"/>
      <c r="B159" s="1559"/>
      <c r="C159" s="1564" t="s">
        <v>23</v>
      </c>
      <c r="D159" s="1564"/>
      <c r="F159" s="2870" t="s">
        <v>1224</v>
      </c>
      <c r="G159" s="2870" t="s">
        <v>1224</v>
      </c>
      <c r="H159" s="2866"/>
      <c r="I159" s="2866"/>
      <c r="J159" s="2503"/>
      <c r="L159" s="3020"/>
    </row>
    <row r="160" spans="1:56" ht="13.7" customHeight="1" x14ac:dyDescent="0.2">
      <c r="A160" s="2503"/>
      <c r="B160" s="1559"/>
      <c r="C160" s="1564" t="s">
        <v>24</v>
      </c>
      <c r="D160" s="1564"/>
      <c r="F160" s="2866">
        <v>3563</v>
      </c>
      <c r="G160" s="2870">
        <v>70</v>
      </c>
      <c r="H160" s="2866">
        <f t="shared" si="9"/>
        <v>50.9</v>
      </c>
      <c r="I160" s="2866">
        <v>6999</v>
      </c>
      <c r="J160" s="2503"/>
      <c r="L160" s="3020"/>
      <c r="M160" t="s">
        <v>1262</v>
      </c>
    </row>
    <row r="161" spans="1:13" ht="13.7" customHeight="1" x14ac:dyDescent="0.2">
      <c r="A161" s="2503"/>
      <c r="B161" s="1559" t="s">
        <v>1203</v>
      </c>
      <c r="C161" s="1564" t="s">
        <v>26</v>
      </c>
      <c r="D161" s="1564"/>
      <c r="F161" s="2866">
        <v>18071</v>
      </c>
      <c r="G161" s="2866">
        <v>436</v>
      </c>
      <c r="H161" s="2866">
        <f t="shared" si="9"/>
        <v>41.447247706422019</v>
      </c>
      <c r="I161" s="2866">
        <v>6973</v>
      </c>
      <c r="J161" s="2503"/>
      <c r="L161" s="3020"/>
      <c r="M161" s="3020" t="s">
        <v>1455</v>
      </c>
    </row>
    <row r="162" spans="1:13" ht="13.7" customHeight="1" x14ac:dyDescent="0.2">
      <c r="A162" s="2503"/>
      <c r="B162" s="1559"/>
      <c r="C162" s="1564" t="s">
        <v>27</v>
      </c>
      <c r="D162" s="1564"/>
      <c r="F162" s="2866">
        <v>33834</v>
      </c>
      <c r="G162" s="2866">
        <v>710</v>
      </c>
      <c r="H162" s="2866">
        <f t="shared" si="9"/>
        <v>47.653521126760566</v>
      </c>
      <c r="I162" s="2866">
        <v>6780</v>
      </c>
      <c r="J162" s="2503"/>
      <c r="L162" s="3020"/>
    </row>
    <row r="163" spans="1:13" ht="13.7" customHeight="1" x14ac:dyDescent="0.2">
      <c r="A163" s="2503"/>
      <c r="B163" s="1559"/>
      <c r="C163" s="1564" t="s">
        <v>28</v>
      </c>
      <c r="D163" s="1564"/>
      <c r="F163" s="2866">
        <v>9304</v>
      </c>
      <c r="G163" s="2866">
        <v>246</v>
      </c>
      <c r="H163" s="2866">
        <f t="shared" si="9"/>
        <v>37.821138211382113</v>
      </c>
      <c r="I163" s="2866">
        <v>6742</v>
      </c>
      <c r="J163" s="2503"/>
      <c r="L163" s="3020"/>
      <c r="M163" t="s">
        <v>1263</v>
      </c>
    </row>
    <row r="164" spans="1:13" ht="13.7" customHeight="1" x14ac:dyDescent="0.2">
      <c r="A164" s="2503"/>
      <c r="B164" s="1559"/>
      <c r="C164" s="1564" t="s">
        <v>29</v>
      </c>
      <c r="D164" s="1564"/>
      <c r="F164" s="2866">
        <v>70648</v>
      </c>
      <c r="G164" s="2866">
        <v>1444</v>
      </c>
      <c r="H164" s="2866">
        <f t="shared" si="9"/>
        <v>48.925207756232687</v>
      </c>
      <c r="I164" s="2866">
        <v>6929</v>
      </c>
      <c r="J164" s="2503"/>
      <c r="L164" s="3020"/>
    </row>
    <row r="165" spans="1:13" ht="13.7" customHeight="1" x14ac:dyDescent="0.2">
      <c r="A165" s="2503"/>
      <c r="B165" s="1559"/>
      <c r="C165" s="1564" t="s">
        <v>30</v>
      </c>
      <c r="D165" s="1564"/>
      <c r="F165" s="2866">
        <v>13422</v>
      </c>
      <c r="G165" s="2866">
        <v>293</v>
      </c>
      <c r="H165" s="2866">
        <f t="shared" si="9"/>
        <v>45.808873720136518</v>
      </c>
      <c r="I165" s="2866">
        <v>7132</v>
      </c>
      <c r="J165" s="2503"/>
      <c r="L165" s="3020"/>
      <c r="M165" s="3020" t="s">
        <v>1457</v>
      </c>
    </row>
    <row r="166" spans="1:13" ht="13.7" customHeight="1" x14ac:dyDescent="0.2">
      <c r="A166" s="2503"/>
      <c r="B166" s="2867" t="s">
        <v>31</v>
      </c>
      <c r="C166" s="2860"/>
      <c r="D166" s="2860"/>
      <c r="E166" s="259"/>
      <c r="F166" s="2868">
        <v>159509</v>
      </c>
      <c r="G166" s="2868">
        <v>3425</v>
      </c>
      <c r="H166" s="2868">
        <f t="shared" si="9"/>
        <v>46.571970802919708</v>
      </c>
      <c r="I166" s="2868">
        <v>6909</v>
      </c>
      <c r="J166" s="2503"/>
      <c r="L166" s="3020"/>
    </row>
    <row r="167" spans="1:13" ht="10.5" customHeight="1" x14ac:dyDescent="0.2">
      <c r="A167" s="2503"/>
      <c r="B167" s="1559"/>
      <c r="C167" s="1564"/>
      <c r="D167" s="1564"/>
      <c r="E167" s="259"/>
      <c r="F167" s="2872"/>
      <c r="G167" s="2872"/>
      <c r="H167" s="2872"/>
      <c r="I167" s="2872"/>
      <c r="J167" s="2503"/>
      <c r="L167" s="3020"/>
    </row>
    <row r="168" spans="1:13" ht="13.7" customHeight="1" x14ac:dyDescent="0.2">
      <c r="A168" s="2503"/>
      <c r="B168" s="2873" t="s">
        <v>32</v>
      </c>
      <c r="C168" s="2874"/>
      <c r="D168" s="2874"/>
      <c r="E168" s="2874"/>
      <c r="F168" s="2939">
        <v>349144</v>
      </c>
      <c r="G168" s="2939">
        <v>8674</v>
      </c>
      <c r="H168" s="2939">
        <f t="shared" si="9"/>
        <v>40.251786949504265</v>
      </c>
      <c r="I168" s="2939">
        <v>6750</v>
      </c>
      <c r="J168" s="2503"/>
      <c r="L168" s="3020"/>
    </row>
    <row r="169" spans="1:13" ht="13.7" customHeight="1" x14ac:dyDescent="0.2">
      <c r="A169" s="2503"/>
      <c r="B169" s="294" t="s">
        <v>1479</v>
      </c>
      <c r="J169" s="2503"/>
      <c r="L169" s="3112" t="s">
        <v>1321</v>
      </c>
    </row>
    <row r="170" spans="1:13" x14ac:dyDescent="0.2">
      <c r="A170" s="2503"/>
      <c r="J170" s="2503"/>
      <c r="L170" s="3112" t="s">
        <v>1322</v>
      </c>
    </row>
    <row r="171" spans="1:13" x14ac:dyDescent="0.2">
      <c r="A171" s="2503"/>
      <c r="J171" s="2503"/>
      <c r="L171" s="3112" t="s">
        <v>1480</v>
      </c>
    </row>
    <row r="172" spans="1:13" x14ac:dyDescent="0.2">
      <c r="A172" s="2503"/>
      <c r="J172" s="2503"/>
    </row>
  </sheetData>
  <sheetProtection sheet="1" objects="1" scenarios="1"/>
  <mergeCells count="6">
    <mergeCell ref="B112:I112"/>
    <mergeCell ref="H66:I66"/>
    <mergeCell ref="H64:I64"/>
    <mergeCell ref="P3:Q3"/>
    <mergeCell ref="D61:G61"/>
    <mergeCell ref="H61:I61"/>
  </mergeCells>
  <phoneticPr fontId="0" type="noConversion"/>
  <printOptions horizontalCentered="1" verticalCentered="1"/>
  <pageMargins left="0.59055118110236227" right="0.59055118110236227" top="0.55118110236220474" bottom="0.98425196850393704" header="0.51181102362204722" footer="0.51181102362204722"/>
  <pageSetup paperSize="9" scale="95" firstPageNumber="45" orientation="portrait" useFirstPageNumber="1" r:id="rId1"/>
  <headerFooter alignWithMargins="0">
    <oddFooter>&amp;LLEL Schwäbisch Gmünd,
&amp;D&amp;C&amp;"Arial,Fett"&amp;12&amp;P&amp;RKalkulationsdaten Milchviehhaltung;
&amp;F  &amp;A</oddFooter>
  </headerFooter>
  <rowBreaks count="2" manualBreakCount="2">
    <brk id="56" min="1" max="8" man="1"/>
    <brk id="111" min="1" max="8"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rgb="FFFFC000"/>
  </sheetPr>
  <dimension ref="B1:R78"/>
  <sheetViews>
    <sheetView showGridLines="0" zoomScale="75" zoomScaleNormal="75" workbookViewId="0">
      <selection activeCell="A20" sqref="A20:A40"/>
    </sheetView>
  </sheetViews>
  <sheetFormatPr baseColWidth="10" defaultRowHeight="12.75" x14ac:dyDescent="0.2"/>
  <cols>
    <col min="1" max="1" width="0.5703125" customWidth="1"/>
    <col min="2" max="2" width="0.85546875" customWidth="1"/>
    <col min="3" max="3" width="3.85546875" customWidth="1"/>
    <col min="4" max="4" width="12.85546875" customWidth="1"/>
    <col min="5" max="5" width="10.42578125" customWidth="1"/>
    <col min="6" max="7" width="8.28515625" hidden="1" customWidth="1"/>
    <col min="8" max="8" width="0.5703125" customWidth="1"/>
    <col min="10" max="10" width="12.5703125" customWidth="1"/>
    <col min="11" max="11" width="13" customWidth="1"/>
    <col min="12" max="12" width="12.85546875" customWidth="1"/>
    <col min="14" max="14" width="11.5703125" customWidth="1"/>
    <col min="15" max="15" width="12.5703125" customWidth="1"/>
    <col min="16" max="16" width="28.28515625" customWidth="1"/>
    <col min="17" max="17" width="4.140625" customWidth="1"/>
  </cols>
  <sheetData>
    <row r="1" spans="2:18" ht="16.5" customHeight="1" x14ac:dyDescent="0.25">
      <c r="C1" s="827"/>
      <c r="J1" s="2504"/>
      <c r="L1" s="2504"/>
      <c r="R1" t="s">
        <v>259</v>
      </c>
    </row>
    <row r="2" spans="2:18" ht="18.600000000000001" customHeight="1" x14ac:dyDescent="0.2">
      <c r="B2" s="2502"/>
      <c r="C2" s="3845"/>
      <c r="D2" s="2503"/>
      <c r="E2" s="2503"/>
      <c r="F2" s="2503"/>
      <c r="G2" s="2503"/>
      <c r="H2" s="2503"/>
      <c r="I2" s="2503"/>
      <c r="J2" s="2503"/>
      <c r="K2" s="2503"/>
      <c r="L2" s="2503"/>
      <c r="M2" s="2503"/>
      <c r="N2" s="2503"/>
      <c r="O2" s="2503"/>
      <c r="P2" s="2503"/>
      <c r="Q2" s="3845"/>
    </row>
    <row r="3" spans="2:18" ht="20.25" customHeight="1" x14ac:dyDescent="0.2">
      <c r="C3" s="3845"/>
      <c r="Q3" s="3845"/>
    </row>
    <row r="4" spans="2:18" ht="20.25" customHeight="1" x14ac:dyDescent="0.2">
      <c r="C4" s="3845"/>
      <c r="Q4" s="3845"/>
    </row>
    <row r="5" spans="2:18" ht="20.25" customHeight="1" x14ac:dyDescent="0.2">
      <c r="C5" s="3845"/>
      <c r="Q5" s="3845"/>
    </row>
    <row r="6" spans="2:18" ht="20.25" customHeight="1" x14ac:dyDescent="0.2">
      <c r="C6" s="3845"/>
      <c r="Q6" s="3845"/>
    </row>
    <row r="7" spans="2:18" ht="20.25" customHeight="1" x14ac:dyDescent="0.2">
      <c r="C7" s="3845"/>
      <c r="Q7" s="3845"/>
    </row>
    <row r="8" spans="2:18" ht="20.25" customHeight="1" x14ac:dyDescent="0.2">
      <c r="C8" s="3845"/>
      <c r="Q8" s="3845"/>
    </row>
    <row r="9" spans="2:18" ht="20.25" customHeight="1" x14ac:dyDescent="0.2">
      <c r="C9" s="3845"/>
      <c r="Q9" s="3845"/>
    </row>
    <row r="10" spans="2:18" ht="20.25" customHeight="1" x14ac:dyDescent="0.2">
      <c r="C10" s="3845"/>
      <c r="Q10" s="3845"/>
    </row>
    <row r="11" spans="2:18" ht="20.25" customHeight="1" x14ac:dyDescent="0.2">
      <c r="C11" s="3845"/>
      <c r="Q11" s="3845"/>
    </row>
    <row r="12" spans="2:18" ht="20.25" customHeight="1" x14ac:dyDescent="0.2">
      <c r="C12" s="3845"/>
      <c r="Q12" s="3845"/>
    </row>
    <row r="13" spans="2:18" ht="20.25" customHeight="1" x14ac:dyDescent="0.2">
      <c r="C13" s="3845"/>
      <c r="Q13" s="3845"/>
    </row>
    <row r="14" spans="2:18" ht="20.25" customHeight="1" x14ac:dyDescent="0.2">
      <c r="C14" s="3845"/>
      <c r="Q14" s="3845"/>
    </row>
    <row r="15" spans="2:18" ht="20.25" customHeight="1" x14ac:dyDescent="0.2">
      <c r="C15" s="3845"/>
      <c r="Q15" s="3845"/>
    </row>
    <row r="16" spans="2:18" ht="20.25" customHeight="1" x14ac:dyDescent="0.2">
      <c r="C16" s="3845"/>
      <c r="Q16" s="3845"/>
    </row>
    <row r="17" spans="3:17" ht="20.25" customHeight="1" x14ac:dyDescent="0.2">
      <c r="C17" s="3845"/>
      <c r="Q17" s="3845"/>
    </row>
    <row r="18" spans="3:17" ht="20.25" customHeight="1" x14ac:dyDescent="0.2">
      <c r="C18" s="3845"/>
      <c r="Q18" s="3845"/>
    </row>
    <row r="19" spans="3:17" ht="20.25" customHeight="1" x14ac:dyDescent="0.2">
      <c r="C19" s="3845"/>
      <c r="Q19" s="3845"/>
    </row>
    <row r="20" spans="3:17" ht="20.25" customHeight="1" x14ac:dyDescent="0.2">
      <c r="C20" s="3845"/>
      <c r="Q20" s="3845"/>
    </row>
    <row r="21" spans="3:17" ht="20.25" customHeight="1" x14ac:dyDescent="0.2">
      <c r="C21" s="3845"/>
      <c r="Q21" s="3845"/>
    </row>
    <row r="22" spans="3:17" ht="20.25" customHeight="1" x14ac:dyDescent="0.2">
      <c r="C22" s="3845"/>
      <c r="Q22" s="3845"/>
    </row>
    <row r="23" spans="3:17" ht="20.25" customHeight="1" x14ac:dyDescent="0.2">
      <c r="C23" s="3845"/>
      <c r="Q23" s="3845"/>
    </row>
    <row r="24" spans="3:17" ht="20.25" customHeight="1" x14ac:dyDescent="0.2">
      <c r="C24" s="3845"/>
      <c r="Q24" s="3845"/>
    </row>
    <row r="25" spans="3:17" ht="20.25" customHeight="1" x14ac:dyDescent="0.2">
      <c r="C25" s="3845"/>
      <c r="Q25" s="3845"/>
    </row>
    <row r="26" spans="3:17" ht="20.25" customHeight="1" x14ac:dyDescent="0.2">
      <c r="C26" s="3845"/>
      <c r="Q26" s="3845"/>
    </row>
    <row r="27" spans="3:17" ht="20.25" customHeight="1" x14ac:dyDescent="0.2">
      <c r="C27" s="3845"/>
      <c r="Q27" s="3845"/>
    </row>
    <row r="28" spans="3:17" ht="20.25" customHeight="1" x14ac:dyDescent="0.2">
      <c r="C28" s="3845"/>
      <c r="Q28" s="3845"/>
    </row>
    <row r="29" spans="3:17" ht="20.25" customHeight="1" x14ac:dyDescent="0.2">
      <c r="C29" s="3845"/>
      <c r="Q29" s="3845"/>
    </row>
    <row r="30" spans="3:17" ht="20.25" customHeight="1" x14ac:dyDescent="0.2">
      <c r="C30" s="3845"/>
      <c r="Q30" s="3845"/>
    </row>
    <row r="31" spans="3:17" ht="20.25" customHeight="1" x14ac:dyDescent="0.2">
      <c r="C31" s="3845"/>
      <c r="Q31" s="3845"/>
    </row>
    <row r="32" spans="3:17" ht="20.25" customHeight="1" x14ac:dyDescent="0.2">
      <c r="C32" s="3845"/>
      <c r="Q32" s="3845"/>
    </row>
    <row r="33" spans="3:17" ht="20.25" customHeight="1" x14ac:dyDescent="0.2">
      <c r="C33" s="3845"/>
      <c r="Q33" s="3845"/>
    </row>
    <row r="34" spans="3:17" ht="20.25" customHeight="1" x14ac:dyDescent="0.2">
      <c r="C34" s="3845"/>
      <c r="Q34" s="3845"/>
    </row>
    <row r="35" spans="3:17" ht="20.25" customHeight="1" x14ac:dyDescent="0.2">
      <c r="C35" s="3845"/>
      <c r="Q35" s="3845"/>
    </row>
    <row r="36" spans="3:17" ht="20.25" customHeight="1" x14ac:dyDescent="0.2">
      <c r="C36" s="3845"/>
      <c r="Q36" s="3845"/>
    </row>
    <row r="37" spans="3:17" ht="20.25" customHeight="1" x14ac:dyDescent="0.2">
      <c r="C37" s="3845"/>
      <c r="Q37" s="3845"/>
    </row>
    <row r="38" spans="3:17" ht="20.25" customHeight="1" x14ac:dyDescent="0.2">
      <c r="C38" s="3845"/>
      <c r="Q38" s="3845"/>
    </row>
    <row r="39" spans="3:17" ht="20.25" customHeight="1" x14ac:dyDescent="0.2">
      <c r="C39" s="3845"/>
      <c r="Q39" s="3845"/>
    </row>
    <row r="40" spans="3:17" ht="20.25" customHeight="1" x14ac:dyDescent="0.2">
      <c r="C40" s="3845"/>
      <c r="Q40" s="3845"/>
    </row>
    <row r="41" spans="3:17" ht="20.25" customHeight="1" x14ac:dyDescent="0.2">
      <c r="C41" s="3845"/>
      <c r="Q41" s="3845"/>
    </row>
    <row r="42" spans="3:17" ht="20.25" customHeight="1" x14ac:dyDescent="0.2">
      <c r="C42" s="3845"/>
      <c r="Q42" s="3845"/>
    </row>
    <row r="43" spans="3:17" ht="20.25" customHeight="1" x14ac:dyDescent="0.2">
      <c r="C43" s="3845"/>
      <c r="Q43" s="3845"/>
    </row>
    <row r="44" spans="3:17" ht="20.25" customHeight="1" x14ac:dyDescent="0.2">
      <c r="C44" s="3845"/>
      <c r="Q44" s="3845"/>
    </row>
    <row r="45" spans="3:17" ht="20.25" customHeight="1" x14ac:dyDescent="0.2">
      <c r="C45" s="3845"/>
      <c r="Q45" s="3845"/>
    </row>
    <row r="46" spans="3:17" ht="20.25" customHeight="1" x14ac:dyDescent="0.2">
      <c r="C46" s="3845"/>
      <c r="Q46" s="3845"/>
    </row>
    <row r="47" spans="3:17" ht="20.25" customHeight="1" x14ac:dyDescent="0.2">
      <c r="C47" s="3845"/>
      <c r="Q47" s="3845"/>
    </row>
    <row r="48" spans="3:17" ht="20.25" customHeight="1" x14ac:dyDescent="0.2">
      <c r="C48" s="3845"/>
      <c r="Q48" s="3845"/>
    </row>
    <row r="49" spans="3:17" ht="20.25" customHeight="1" x14ac:dyDescent="0.2">
      <c r="C49" s="3845"/>
      <c r="Q49" s="3845"/>
    </row>
    <row r="50" spans="3:17" ht="20.25" customHeight="1" x14ac:dyDescent="0.2">
      <c r="C50" s="3845"/>
      <c r="Q50" s="3845"/>
    </row>
    <row r="51" spans="3:17" ht="20.25" customHeight="1" x14ac:dyDescent="0.2">
      <c r="C51" s="3845"/>
      <c r="Q51" s="3845"/>
    </row>
    <row r="52" spans="3:17" ht="20.25" customHeight="1" x14ac:dyDescent="0.2">
      <c r="C52" s="3845"/>
      <c r="Q52" s="3845"/>
    </row>
    <row r="53" spans="3:17" ht="20.25" customHeight="1" x14ac:dyDescent="0.2">
      <c r="C53" s="3845"/>
      <c r="Q53" s="3845"/>
    </row>
    <row r="54" spans="3:17" ht="20.25" customHeight="1" x14ac:dyDescent="0.2">
      <c r="C54" s="3845"/>
      <c r="Q54" s="3845"/>
    </row>
    <row r="55" spans="3:17" ht="20.25" customHeight="1" x14ac:dyDescent="0.2">
      <c r="C55" s="3845"/>
      <c r="Q55" s="3845"/>
    </row>
    <row r="56" spans="3:17" ht="31.7" customHeight="1" x14ac:dyDescent="0.2">
      <c r="C56" s="3845"/>
      <c r="Q56" s="3845"/>
    </row>
    <row r="57" spans="3:17" s="3844" customFormat="1" ht="20.25" customHeight="1" x14ac:dyDescent="0.2">
      <c r="C57" s="3845"/>
      <c r="D57" s="3843"/>
      <c r="E57" s="3843"/>
      <c r="F57" s="3843"/>
      <c r="G57" s="3843"/>
      <c r="H57" s="3843"/>
      <c r="I57" s="3843"/>
      <c r="J57" s="3843"/>
      <c r="K57" s="3843"/>
      <c r="L57" s="3843"/>
      <c r="M57" s="3843"/>
      <c r="N57" s="3843"/>
      <c r="O57" s="3843"/>
      <c r="P57" s="3843"/>
      <c r="Q57" s="3845"/>
    </row>
    <row r="58" spans="3:17" ht="20.25" customHeight="1" x14ac:dyDescent="0.2">
      <c r="C58" s="3846"/>
      <c r="Q58" s="3846"/>
    </row>
    <row r="59" spans="3:17" ht="20.25" customHeight="1" x14ac:dyDescent="0.2">
      <c r="C59" s="3846"/>
      <c r="Q59" s="3846"/>
    </row>
    <row r="60" spans="3:17" ht="20.25" customHeight="1" x14ac:dyDescent="0.2">
      <c r="C60" s="3846"/>
      <c r="Q60" s="3846"/>
    </row>
    <row r="61" spans="3:17" ht="20.25" customHeight="1" x14ac:dyDescent="0.2">
      <c r="C61" s="3846"/>
      <c r="Q61" s="3846"/>
    </row>
    <row r="62" spans="3:17" ht="20.25" customHeight="1" x14ac:dyDescent="0.2">
      <c r="C62" s="3846"/>
      <c r="Q62" s="3846"/>
    </row>
    <row r="63" spans="3:17" ht="20.25" customHeight="1" x14ac:dyDescent="0.2">
      <c r="C63" s="3846"/>
      <c r="Q63" s="3846"/>
    </row>
    <row r="64" spans="3:17" ht="20.25" customHeight="1" x14ac:dyDescent="0.2">
      <c r="C64" s="3846"/>
      <c r="Q64" s="3846"/>
    </row>
    <row r="65" spans="3:17" ht="20.25" customHeight="1" x14ac:dyDescent="0.2">
      <c r="C65" s="3846"/>
      <c r="Q65" s="3846"/>
    </row>
    <row r="66" spans="3:17" x14ac:dyDescent="0.2">
      <c r="C66" s="3846"/>
      <c r="Q66" s="3846"/>
    </row>
    <row r="67" spans="3:17" x14ac:dyDescent="0.2">
      <c r="C67" s="3846"/>
      <c r="Q67" s="3846"/>
    </row>
    <row r="68" spans="3:17" x14ac:dyDescent="0.2">
      <c r="C68" s="3846"/>
      <c r="Q68" s="3846"/>
    </row>
    <row r="69" spans="3:17" x14ac:dyDescent="0.2">
      <c r="C69" s="3846"/>
      <c r="Q69" s="3846"/>
    </row>
    <row r="70" spans="3:17" x14ac:dyDescent="0.2">
      <c r="C70" s="3846"/>
      <c r="Q70" s="3846"/>
    </row>
    <row r="71" spans="3:17" x14ac:dyDescent="0.2">
      <c r="C71" s="3846"/>
      <c r="Q71" s="3846"/>
    </row>
    <row r="72" spans="3:17" x14ac:dyDescent="0.2">
      <c r="C72" s="3846"/>
      <c r="Q72" s="3846"/>
    </row>
    <row r="73" spans="3:17" x14ac:dyDescent="0.2">
      <c r="C73" s="3846"/>
      <c r="Q73" s="3846"/>
    </row>
    <row r="74" spans="3:17" x14ac:dyDescent="0.2">
      <c r="C74" s="3846"/>
      <c r="Q74" s="3846"/>
    </row>
    <row r="75" spans="3:17" x14ac:dyDescent="0.2">
      <c r="C75" s="3846"/>
      <c r="Q75" s="3846"/>
    </row>
    <row r="76" spans="3:17" x14ac:dyDescent="0.2">
      <c r="C76" s="3846"/>
      <c r="Q76" s="3846"/>
    </row>
    <row r="77" spans="3:17" x14ac:dyDescent="0.2">
      <c r="C77" s="3846"/>
      <c r="D77" s="3846"/>
      <c r="E77" s="3846"/>
      <c r="F77" s="3846"/>
      <c r="G77" s="3846"/>
      <c r="H77" s="3846"/>
      <c r="I77" s="3846"/>
      <c r="J77" s="3846"/>
      <c r="K77" s="3846"/>
      <c r="L77" s="3846"/>
      <c r="M77" s="3846"/>
      <c r="N77" s="3846"/>
      <c r="O77" s="3846"/>
      <c r="P77" s="3846"/>
      <c r="Q77" s="3846"/>
    </row>
    <row r="78" spans="3:17" x14ac:dyDescent="0.2">
      <c r="C78" s="3846"/>
      <c r="D78" s="3846"/>
      <c r="E78" s="3846"/>
      <c r="F78" s="3846"/>
      <c r="G78" s="3846"/>
      <c r="H78" s="3846"/>
      <c r="I78" s="3846"/>
      <c r="J78" s="3846"/>
      <c r="K78" s="3846"/>
      <c r="L78" s="3846"/>
      <c r="M78" s="3846"/>
      <c r="N78" s="3846"/>
      <c r="O78" s="3846"/>
      <c r="P78" s="3846"/>
      <c r="Q78" s="3846"/>
    </row>
  </sheetData>
  <phoneticPr fontId="0" type="noConversion"/>
  <pageMargins left="0.59055118110236227" right="0.39370078740157483" top="0.78740157480314965" bottom="0.78740157480314965" header="0.51181102362204722" footer="0.51181102362204722"/>
  <pageSetup paperSize="9" scale="63" firstPageNumber="48" orientation="portrait" useFirstPageNumber="1" r:id="rId1"/>
  <headerFooter alignWithMargins="0">
    <oddFooter>&amp;LLEL Schwbisch Gmünd;
&amp;D&amp;C&amp;"Arial,Fett"&amp;12&amp;P&amp;RKalökulationsdaten Milchviehhaltung;
&amp;F  &amp;A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BQ56"/>
  <sheetViews>
    <sheetView showGridLines="0" zoomScale="60" zoomScaleNormal="65" workbookViewId="0">
      <selection activeCell="O33" sqref="O33"/>
    </sheetView>
  </sheetViews>
  <sheetFormatPr baseColWidth="10" defaultRowHeight="12.75" x14ac:dyDescent="0.2"/>
  <cols>
    <col min="1" max="1" width="1.85546875" customWidth="1"/>
    <col min="2" max="2" width="3.85546875" customWidth="1"/>
    <col min="3" max="3" width="4.140625" customWidth="1"/>
    <col min="4" max="4" width="17.28515625" customWidth="1"/>
    <col min="5" max="5" width="13.28515625" customWidth="1"/>
    <col min="6" max="6" width="7.85546875" customWidth="1"/>
    <col min="7" max="7" width="7.5703125" customWidth="1"/>
    <col min="8" max="14" width="23" customWidth="1"/>
    <col min="15" max="15" width="22.85546875" customWidth="1"/>
    <col min="16" max="16" width="14" customWidth="1"/>
    <col min="17" max="17" width="15.140625" customWidth="1"/>
    <col min="18" max="18" width="14" customWidth="1"/>
    <col min="19" max="22" width="3.85546875" customWidth="1"/>
    <col min="23" max="23" width="5.5703125" customWidth="1"/>
    <col min="24" max="24" width="3.85546875" customWidth="1"/>
    <col min="25" max="25" width="12.28515625" bestFit="1" customWidth="1"/>
    <col min="26" max="31" width="14.5703125" customWidth="1"/>
    <col min="32" max="32" width="17.42578125" customWidth="1"/>
    <col min="33" max="39" width="14.5703125" customWidth="1"/>
    <col min="40" max="40" width="14.28515625" customWidth="1"/>
    <col min="41" max="41" width="15" customWidth="1"/>
    <col min="42" max="47" width="16.28515625" customWidth="1"/>
    <col min="54" max="56" width="12.28515625" bestFit="1" customWidth="1"/>
    <col min="57" max="57" width="12.7109375" bestFit="1" customWidth="1"/>
    <col min="58" max="58" width="12.28515625" bestFit="1" customWidth="1"/>
    <col min="59" max="59" width="12.5703125" bestFit="1" customWidth="1"/>
    <col min="60" max="60" width="12.28515625" bestFit="1" customWidth="1"/>
  </cols>
  <sheetData>
    <row r="1" spans="1:69" x14ac:dyDescent="0.2">
      <c r="A1" s="2503"/>
      <c r="B1" s="2503"/>
      <c r="C1" s="2503"/>
      <c r="D1" s="2503"/>
      <c r="E1" s="2503"/>
      <c r="F1" s="2503"/>
      <c r="G1" s="2503"/>
      <c r="H1" s="2503"/>
      <c r="I1" s="2503"/>
      <c r="J1" s="2503"/>
      <c r="K1" s="2503"/>
      <c r="L1" s="2503"/>
      <c r="M1" s="2503"/>
      <c r="N1" s="2503"/>
      <c r="O1" s="2503"/>
      <c r="P1" s="2503"/>
      <c r="Q1" s="2503"/>
      <c r="R1" s="2503"/>
      <c r="S1" s="2503"/>
    </row>
    <row r="2" spans="1:69" x14ac:dyDescent="0.2">
      <c r="A2" s="2503"/>
      <c r="S2" s="2503"/>
    </row>
    <row r="3" spans="1:69" ht="18" x14ac:dyDescent="0.25">
      <c r="A3" s="2503"/>
      <c r="C3" s="2187" t="s">
        <v>1039</v>
      </c>
      <c r="H3" s="2187" t="s">
        <v>787</v>
      </c>
      <c r="K3" s="2187" t="s">
        <v>788</v>
      </c>
      <c r="M3" s="2187" t="s">
        <v>789</v>
      </c>
      <c r="S3" s="2503"/>
    </row>
    <row r="4" spans="1:69" x14ac:dyDescent="0.2">
      <c r="A4" s="2503"/>
      <c r="S4" s="2503"/>
    </row>
    <row r="5" spans="1:69" ht="6.75" customHeight="1" x14ac:dyDescent="0.2">
      <c r="A5" s="2503"/>
      <c r="G5" s="2158"/>
      <c r="S5" s="2503"/>
    </row>
    <row r="6" spans="1:69" ht="26.45" customHeight="1" x14ac:dyDescent="0.4">
      <c r="A6" s="2503"/>
      <c r="C6" s="2769" t="s">
        <v>1066</v>
      </c>
      <c r="G6" s="2158"/>
      <c r="S6" s="2503"/>
    </row>
    <row r="7" spans="1:69" ht="18" x14ac:dyDescent="0.25">
      <c r="A7" s="2503"/>
      <c r="C7" s="988"/>
      <c r="D7" s="2161"/>
      <c r="E7" s="988"/>
      <c r="F7" s="988"/>
      <c r="G7" s="2187"/>
      <c r="H7" s="988"/>
      <c r="I7" s="988"/>
      <c r="J7" s="988"/>
      <c r="K7" s="1514"/>
      <c r="S7" s="2503"/>
    </row>
    <row r="8" spans="1:69" ht="15" x14ac:dyDescent="0.2">
      <c r="A8" s="2503"/>
      <c r="C8" s="988"/>
      <c r="D8" s="988"/>
      <c r="E8" s="988"/>
      <c r="G8" s="988"/>
      <c r="H8" s="988"/>
      <c r="I8" s="988"/>
      <c r="J8" s="1514"/>
      <c r="S8" s="2503"/>
      <c r="Y8">
        <v>1</v>
      </c>
      <c r="Z8">
        <v>2</v>
      </c>
      <c r="AA8">
        <v>3</v>
      </c>
      <c r="AB8">
        <v>4</v>
      </c>
      <c r="AC8">
        <v>5</v>
      </c>
      <c r="AD8">
        <v>6</v>
      </c>
      <c r="AE8">
        <v>7</v>
      </c>
      <c r="AF8">
        <v>8</v>
      </c>
      <c r="AG8">
        <v>9</v>
      </c>
      <c r="AH8">
        <v>10</v>
      </c>
      <c r="AI8">
        <v>11</v>
      </c>
      <c r="AJ8">
        <v>12</v>
      </c>
      <c r="AK8">
        <v>13</v>
      </c>
      <c r="AL8">
        <v>14</v>
      </c>
      <c r="AM8">
        <v>15</v>
      </c>
      <c r="AN8">
        <v>16</v>
      </c>
      <c r="AO8">
        <v>17</v>
      </c>
      <c r="AP8">
        <v>18</v>
      </c>
      <c r="AQ8">
        <v>19</v>
      </c>
      <c r="AR8">
        <v>20</v>
      </c>
      <c r="AS8">
        <v>21</v>
      </c>
      <c r="AT8">
        <v>22</v>
      </c>
      <c r="AU8">
        <v>23</v>
      </c>
    </row>
    <row r="9" spans="1:69" ht="28.5" customHeight="1" x14ac:dyDescent="0.2">
      <c r="A9" s="2503"/>
      <c r="C9" s="988"/>
      <c r="D9" s="988"/>
      <c r="E9" s="988"/>
      <c r="F9" s="2162"/>
      <c r="G9" s="988"/>
      <c r="H9" s="988"/>
      <c r="I9" s="988"/>
      <c r="S9" s="2503"/>
    </row>
    <row r="10" spans="1:69" s="988" customFormat="1" ht="45.75" customHeight="1" x14ac:dyDescent="0.25">
      <c r="A10" s="2503"/>
      <c r="B10"/>
      <c r="C10" s="4041" t="s">
        <v>1062</v>
      </c>
      <c r="D10" s="4042"/>
      <c r="E10" s="4042"/>
      <c r="F10" s="4042"/>
      <c r="G10" s="4043"/>
      <c r="H10" s="2770">
        <v>2005</v>
      </c>
      <c r="I10" s="2770">
        <v>2006</v>
      </c>
      <c r="J10" s="2770">
        <v>2007</v>
      </c>
      <c r="K10" s="2770">
        <v>2008</v>
      </c>
      <c r="L10" s="2770">
        <v>2009</v>
      </c>
      <c r="M10" s="2770">
        <v>2010</v>
      </c>
      <c r="N10" s="2770">
        <v>2011</v>
      </c>
      <c r="P10"/>
      <c r="Q10"/>
      <c r="R10"/>
      <c r="S10" s="2503"/>
      <c r="T10"/>
      <c r="U10"/>
      <c r="V10"/>
      <c r="W10"/>
      <c r="X10"/>
      <c r="Y10" s="2163">
        <v>36830</v>
      </c>
      <c r="Z10" s="2163">
        <v>36892</v>
      </c>
      <c r="AA10" s="2163">
        <v>36982</v>
      </c>
      <c r="AB10" s="2163">
        <v>37073</v>
      </c>
      <c r="AC10" s="2163">
        <v>37165</v>
      </c>
      <c r="AD10" s="2163">
        <v>37347</v>
      </c>
      <c r="AE10" s="2163">
        <v>37438</v>
      </c>
      <c r="AF10" s="2163">
        <v>37559</v>
      </c>
      <c r="AG10" s="2163">
        <v>37712</v>
      </c>
      <c r="AH10" s="2163">
        <v>37803</v>
      </c>
      <c r="AI10" s="2163">
        <v>37895</v>
      </c>
      <c r="AJ10" s="2163">
        <v>38078</v>
      </c>
      <c r="AK10" s="2163">
        <v>38169</v>
      </c>
      <c r="AL10" s="2163">
        <v>38261</v>
      </c>
      <c r="AM10" s="2163">
        <v>38443</v>
      </c>
      <c r="AN10" s="2163">
        <v>38534</v>
      </c>
      <c r="AO10" s="2163">
        <v>38626</v>
      </c>
      <c r="AP10" s="2163">
        <v>38808</v>
      </c>
      <c r="AQ10" s="2163">
        <v>38899</v>
      </c>
      <c r="AR10" s="2163">
        <v>38991</v>
      </c>
      <c r="AS10" s="2163">
        <v>39173</v>
      </c>
      <c r="AT10" s="2163">
        <v>39264</v>
      </c>
      <c r="AU10" s="2163">
        <v>39388</v>
      </c>
      <c r="AV10" s="2163">
        <v>39539</v>
      </c>
      <c r="AW10" s="2163">
        <v>39630</v>
      </c>
      <c r="AX10" s="2163">
        <v>39753</v>
      </c>
      <c r="AY10" s="2163">
        <v>39904</v>
      </c>
      <c r="AZ10" s="2163">
        <v>39995</v>
      </c>
      <c r="BA10" s="2163">
        <v>40118</v>
      </c>
      <c r="BB10" s="2163">
        <v>40269</v>
      </c>
      <c r="BC10" s="2163">
        <v>40360</v>
      </c>
      <c r="BD10" s="2163">
        <v>40484</v>
      </c>
      <c r="BE10" s="2163">
        <v>40634</v>
      </c>
      <c r="BF10" s="2163">
        <v>40725</v>
      </c>
      <c r="BG10" s="2163">
        <v>40849</v>
      </c>
      <c r="BH10" s="2163">
        <v>41000</v>
      </c>
      <c r="BI10" s="2163">
        <v>41091</v>
      </c>
      <c r="BJ10" s="2163">
        <v>41215</v>
      </c>
      <c r="BK10" s="2163">
        <v>41365</v>
      </c>
      <c r="BL10" s="2163">
        <v>41456</v>
      </c>
      <c r="BM10" s="2163">
        <v>41580</v>
      </c>
      <c r="BN10" s="2163">
        <v>41730</v>
      </c>
      <c r="BO10" s="2163">
        <v>41821</v>
      </c>
      <c r="BP10" s="2163">
        <v>41945</v>
      </c>
      <c r="BQ10" s="2163"/>
    </row>
    <row r="11" spans="1:69" s="988" customFormat="1" ht="17.45" customHeight="1" x14ac:dyDescent="0.2">
      <c r="A11" s="2503"/>
      <c r="B11"/>
      <c r="C11" s="2762"/>
      <c r="D11" s="86"/>
      <c r="E11" s="86"/>
      <c r="F11" s="86"/>
      <c r="G11" s="86"/>
      <c r="H11" s="2771"/>
      <c r="I11" s="2771"/>
      <c r="J11" s="2771"/>
      <c r="K11" s="2771"/>
      <c r="L11" s="2772"/>
      <c r="M11" s="2773"/>
      <c r="N11" s="2773"/>
      <c r="P11"/>
      <c r="Q11"/>
      <c r="R11"/>
      <c r="S11" s="2503"/>
      <c r="T11"/>
      <c r="U11"/>
      <c r="V11"/>
      <c r="W11"/>
      <c r="X11"/>
      <c r="Y11" s="1322"/>
      <c r="Z11" s="1322"/>
      <c r="AA11" s="1322"/>
      <c r="AB11" s="1322"/>
      <c r="AC11" s="1322"/>
      <c r="AD11" s="1322"/>
      <c r="AE11" s="1322"/>
      <c r="AF11" s="1322"/>
      <c r="AG11" s="1322"/>
      <c r="AH11" s="1322"/>
      <c r="AI11" s="1322"/>
      <c r="AJ11" s="1322"/>
      <c r="AK11" s="1322"/>
      <c r="AL11" s="1322"/>
      <c r="AM11" s="1322"/>
      <c r="AN11" s="1322"/>
      <c r="AO11" s="1322"/>
      <c r="AP11" s="1322"/>
      <c r="AQ11" s="1322"/>
      <c r="AR11" s="1322"/>
      <c r="AS11" s="1322"/>
      <c r="AT11" s="1322"/>
      <c r="AU11" s="1322"/>
    </row>
    <row r="12" spans="1:69" s="988" customFormat="1" ht="29.25" customHeight="1" x14ac:dyDescent="0.2">
      <c r="A12" s="2503"/>
      <c r="B12"/>
      <c r="C12" s="2760" t="s">
        <v>128</v>
      </c>
      <c r="D12" s="2761"/>
      <c r="E12" s="2761"/>
      <c r="F12" s="2763"/>
      <c r="G12" s="2764" t="s">
        <v>960</v>
      </c>
      <c r="H12" s="2775">
        <v>0.34</v>
      </c>
      <c r="I12" s="2775">
        <v>0.39</v>
      </c>
      <c r="J12" s="2775">
        <v>0.4</v>
      </c>
      <c r="K12" s="2775">
        <v>0.35</v>
      </c>
      <c r="L12" s="2775">
        <v>0.2</v>
      </c>
      <c r="M12" s="2775">
        <v>0.1</v>
      </c>
      <c r="N12" s="2775">
        <v>0.1</v>
      </c>
      <c r="P12"/>
      <c r="Q12"/>
      <c r="R12"/>
      <c r="S12" s="2503"/>
      <c r="T12"/>
      <c r="U12" s="1318" t="s">
        <v>790</v>
      </c>
      <c r="V12" s="1318"/>
      <c r="X12" s="2164" t="s">
        <v>960</v>
      </c>
      <c r="Y12" s="2165">
        <v>0.51129188119621849</v>
      </c>
      <c r="Z12" s="2165">
        <v>0.66979236436704626</v>
      </c>
      <c r="AA12" s="2165">
        <v>0.50106604357229412</v>
      </c>
      <c r="AB12" s="2165">
        <v>0.56242106931584035</v>
      </c>
      <c r="AC12" s="2165">
        <v>0.66979236436704626</v>
      </c>
      <c r="AD12" s="2165">
        <v>0.62</v>
      </c>
      <c r="AE12" s="2165">
        <v>0.61</v>
      </c>
      <c r="AF12" s="2165">
        <v>0.49</v>
      </c>
      <c r="AG12" s="2165">
        <v>0.38</v>
      </c>
      <c r="AH12" s="2165">
        <v>0.38</v>
      </c>
      <c r="AI12" s="2165">
        <v>0.37</v>
      </c>
      <c r="AJ12" s="2165">
        <v>0.31</v>
      </c>
      <c r="AK12" s="2165">
        <v>0.28999999999999998</v>
      </c>
      <c r="AL12" s="2165">
        <v>0.34</v>
      </c>
      <c r="AM12" s="2165">
        <v>0.26</v>
      </c>
      <c r="AN12" s="2165">
        <v>0.31</v>
      </c>
      <c r="AO12" s="2165">
        <v>0.4</v>
      </c>
      <c r="AP12" s="2165">
        <v>0.4</v>
      </c>
      <c r="AQ12" s="2165">
        <v>0.4</v>
      </c>
      <c r="AR12" s="2165">
        <v>0.42</v>
      </c>
      <c r="AS12" s="2165">
        <v>0.28999999999999998</v>
      </c>
      <c r="AT12" s="2165"/>
      <c r="AU12" s="2165"/>
    </row>
    <row r="13" spans="1:69" s="988" customFormat="1" ht="27.75" customHeight="1" x14ac:dyDescent="0.2">
      <c r="A13" s="2503"/>
      <c r="B13"/>
      <c r="C13" s="2765" t="s">
        <v>327</v>
      </c>
      <c r="D13" s="86"/>
      <c r="E13" s="86"/>
      <c r="F13" s="86"/>
      <c r="G13" s="86" t="s">
        <v>857</v>
      </c>
      <c r="H13" s="2966">
        <v>42588850</v>
      </c>
      <c r="I13" s="2966">
        <v>51787625</v>
      </c>
      <c r="J13" s="2966">
        <v>76272205</v>
      </c>
      <c r="K13" s="2966">
        <v>53821291</v>
      </c>
      <c r="L13" s="2967">
        <v>43120104</v>
      </c>
      <c r="M13" s="2968">
        <v>51649337</v>
      </c>
      <c r="N13" s="2968">
        <f>30292766+9987498+18919175</f>
        <v>59199439</v>
      </c>
      <c r="P13"/>
      <c r="Q13"/>
      <c r="R13"/>
      <c r="S13" s="2503"/>
      <c r="T13"/>
      <c r="U13" s="1318" t="s">
        <v>792</v>
      </c>
      <c r="V13" s="1318"/>
      <c r="X13" s="1332"/>
      <c r="Y13" s="2165">
        <v>0.48061436832444537</v>
      </c>
      <c r="Z13" s="2165">
        <v>0.51129188119621849</v>
      </c>
      <c r="AA13" s="2165">
        <v>0.5061789623842563</v>
      </c>
      <c r="AB13" s="2165">
        <v>0.470388530700521</v>
      </c>
      <c r="AC13" s="2165">
        <v>0.54196939406799161</v>
      </c>
      <c r="AD13" s="2165">
        <v>0.51</v>
      </c>
      <c r="AE13" s="2165">
        <v>0.51</v>
      </c>
      <c r="AF13" s="2165">
        <v>0.45</v>
      </c>
      <c r="AG13" s="2165">
        <v>0.28999999999999998</v>
      </c>
      <c r="AH13" s="2165">
        <v>0.14000000000000001</v>
      </c>
      <c r="AI13" s="2165">
        <v>0.17</v>
      </c>
      <c r="AJ13" s="2165">
        <v>0.22</v>
      </c>
      <c r="AK13" s="2165">
        <v>0.25</v>
      </c>
      <c r="AL13" s="2165">
        <v>0.24</v>
      </c>
      <c r="AM13" s="2165">
        <v>0.19</v>
      </c>
      <c r="AN13" s="2165">
        <v>0.26</v>
      </c>
      <c r="AO13" s="2165">
        <v>0.34</v>
      </c>
      <c r="AP13" s="2165">
        <v>0.39</v>
      </c>
      <c r="AQ13" s="2165">
        <v>0.39</v>
      </c>
      <c r="AR13" s="2165">
        <v>0.41</v>
      </c>
      <c r="AS13" s="2165">
        <v>0.25</v>
      </c>
      <c r="AT13" s="2165"/>
      <c r="AU13" s="2165"/>
    </row>
    <row r="14" spans="1:69" s="988" customFormat="1" ht="27.75" customHeight="1" x14ac:dyDescent="0.2">
      <c r="A14" s="2503"/>
      <c r="B14"/>
      <c r="C14" s="2765" t="s">
        <v>328</v>
      </c>
      <c r="D14" s="86"/>
      <c r="E14" s="86"/>
      <c r="F14" s="86"/>
      <c r="G14" s="86"/>
      <c r="H14" s="2969">
        <v>4258850</v>
      </c>
      <c r="I14" s="2969">
        <v>51787625</v>
      </c>
      <c r="J14" s="2969">
        <v>29050604</v>
      </c>
      <c r="K14" s="2969">
        <v>30448225</v>
      </c>
      <c r="L14" s="2970">
        <v>35704004</v>
      </c>
      <c r="M14" s="2968">
        <v>28849231</v>
      </c>
      <c r="N14" s="2968">
        <f>20203+8451523+16694586</f>
        <v>25166312</v>
      </c>
      <c r="O14" s="2975" t="s">
        <v>329</v>
      </c>
      <c r="P14" s="2976" t="s">
        <v>1060</v>
      </c>
      <c r="Q14" s="2976" t="s">
        <v>1061</v>
      </c>
      <c r="R14" s="336"/>
      <c r="S14" s="2503"/>
      <c r="T14"/>
      <c r="U14" s="1318" t="s">
        <v>793</v>
      </c>
      <c r="V14" s="1318"/>
      <c r="X14" s="1332"/>
      <c r="Y14" s="2165">
        <v>0.56242106931584035</v>
      </c>
      <c r="Z14" s="2165">
        <v>0.74648614654647905</v>
      </c>
      <c r="AA14" s="2165">
        <v>0.58798566337565128</v>
      </c>
      <c r="AB14" s="2165">
        <v>0.64934068911919751</v>
      </c>
      <c r="AC14" s="2165">
        <v>0.77205074060628998</v>
      </c>
      <c r="AD14" s="2165">
        <v>0.75</v>
      </c>
      <c r="AE14" s="2165">
        <v>0.8</v>
      </c>
      <c r="AF14" s="2165">
        <v>0.62</v>
      </c>
      <c r="AG14" s="2165">
        <v>0.57999999999999996</v>
      </c>
      <c r="AH14" s="2165">
        <v>0.49</v>
      </c>
      <c r="AI14" s="2165">
        <v>0.41</v>
      </c>
      <c r="AJ14" s="2165">
        <v>0.43</v>
      </c>
      <c r="AK14" s="2165">
        <v>0.45</v>
      </c>
      <c r="AL14" s="2165">
        <v>0.51</v>
      </c>
      <c r="AM14" s="2165">
        <v>0.34</v>
      </c>
      <c r="AN14" s="2165">
        <v>0.35</v>
      </c>
      <c r="AO14" s="2165">
        <v>0.47</v>
      </c>
      <c r="AP14" s="2165">
        <v>0.39</v>
      </c>
      <c r="AQ14" s="2165">
        <v>0.4</v>
      </c>
      <c r="AR14" s="2165">
        <v>0.28999999999999998</v>
      </c>
      <c r="AS14" s="2165">
        <v>0.34</v>
      </c>
      <c r="AT14" s="2165"/>
      <c r="AU14" s="2165"/>
    </row>
    <row r="15" spans="1:69" s="988" customFormat="1" ht="27.75" customHeight="1" x14ac:dyDescent="0.2">
      <c r="A15" s="2503"/>
      <c r="B15"/>
      <c r="C15" s="2765" t="s">
        <v>1059</v>
      </c>
      <c r="D15" s="86"/>
      <c r="E15" s="86"/>
      <c r="F15" s="86"/>
      <c r="G15" s="86"/>
      <c r="H15" s="2978">
        <v>0</v>
      </c>
      <c r="I15" s="2978">
        <v>0</v>
      </c>
      <c r="J15" s="2978">
        <f>J14-J13</f>
        <v>-47221601</v>
      </c>
      <c r="K15" s="2978">
        <f>K14-K13</f>
        <v>-23373066</v>
      </c>
      <c r="L15" s="2979">
        <f>L14-L13</f>
        <v>-7416100</v>
      </c>
      <c r="M15" s="2980">
        <f>M14-M13</f>
        <v>-22800106</v>
      </c>
      <c r="N15" s="2980">
        <f>N14-N13</f>
        <v>-34033127</v>
      </c>
      <c r="O15" s="2971">
        <f>SUM(H15:N15)</f>
        <v>-134844000</v>
      </c>
      <c r="P15" s="2968">
        <v>7000</v>
      </c>
      <c r="Q15" s="28"/>
      <c r="R15" s="300"/>
      <c r="S15" s="2503"/>
      <c r="T15"/>
      <c r="U15" s="1318" t="s">
        <v>794</v>
      </c>
      <c r="V15" s="1318"/>
      <c r="X15" s="1332"/>
      <c r="Y15" s="2165">
        <v>0.6186631762474244</v>
      </c>
      <c r="Z15" s="2165">
        <v>0.82317992872591172</v>
      </c>
      <c r="AA15" s="2165">
        <v>0.53685647525602942</v>
      </c>
      <c r="AB15" s="2165">
        <v>0.66979236436704626</v>
      </c>
      <c r="AC15" s="2165">
        <v>0.84874452278572265</v>
      </c>
      <c r="AD15" s="2165">
        <v>0.75</v>
      </c>
      <c r="AE15" s="2165">
        <v>0.79</v>
      </c>
      <c r="AF15" s="2165">
        <v>0.52</v>
      </c>
      <c r="AG15" s="2165">
        <v>0.53</v>
      </c>
      <c r="AH15" s="2165">
        <v>0.49</v>
      </c>
      <c r="AI15" s="2165">
        <v>0.44</v>
      </c>
      <c r="AJ15" s="2165">
        <v>0.36</v>
      </c>
      <c r="AK15" s="2165">
        <v>0.37</v>
      </c>
      <c r="AL15" s="2165">
        <v>0.43</v>
      </c>
      <c r="AM15" s="2165">
        <v>0.3</v>
      </c>
      <c r="AN15" s="2165">
        <v>0.34</v>
      </c>
      <c r="AO15" s="2165">
        <v>0.42</v>
      </c>
      <c r="AP15" s="2165">
        <v>0.37</v>
      </c>
      <c r="AQ15" s="2165">
        <v>0.41</v>
      </c>
      <c r="AR15" s="2165">
        <v>0.37</v>
      </c>
      <c r="AS15" s="2165">
        <v>0.31</v>
      </c>
      <c r="AT15" s="2165"/>
      <c r="AU15" s="2165"/>
    </row>
    <row r="16" spans="1:69" s="988" customFormat="1" ht="27.75" customHeight="1" x14ac:dyDescent="0.2">
      <c r="A16" s="2503"/>
      <c r="B16"/>
      <c r="C16" s="2766" t="s">
        <v>326</v>
      </c>
      <c r="D16" s="2767"/>
      <c r="E16" s="2767"/>
      <c r="F16" s="2767"/>
      <c r="G16" s="2768"/>
      <c r="H16" s="2774">
        <f t="shared" ref="H16:N16" si="0">MAX(H13:H15)</f>
        <v>42588850</v>
      </c>
      <c r="I16" s="2774">
        <f t="shared" si="0"/>
        <v>51787625</v>
      </c>
      <c r="J16" s="2774">
        <f t="shared" si="0"/>
        <v>76272205</v>
      </c>
      <c r="K16" s="2774">
        <f t="shared" si="0"/>
        <v>53821291</v>
      </c>
      <c r="L16" s="2774">
        <f t="shared" si="0"/>
        <v>43120104</v>
      </c>
      <c r="M16" s="2774">
        <f t="shared" si="0"/>
        <v>51649337</v>
      </c>
      <c r="N16" s="2774">
        <f t="shared" si="0"/>
        <v>59199439</v>
      </c>
      <c r="O16" s="2972"/>
      <c r="P16" s="2973">
        <f>O15/P15</f>
        <v>-19263.428571428572</v>
      </c>
      <c r="Q16" s="2974">
        <f>P16/Strukturentwicklung!I26</f>
        <v>-5.3182745385102016E-2</v>
      </c>
      <c r="R16" s="25"/>
      <c r="S16" s="2503"/>
      <c r="T16"/>
      <c r="U16"/>
      <c r="V16"/>
      <c r="W16"/>
      <c r="X16"/>
      <c r="Y16" s="2165"/>
      <c r="Z16" s="2165"/>
      <c r="AA16" s="2165"/>
      <c r="AB16" s="2165"/>
      <c r="AC16" s="2165"/>
      <c r="AD16" s="2165"/>
      <c r="AE16" s="2165"/>
      <c r="AF16" s="2165"/>
      <c r="AG16" s="2165"/>
      <c r="AH16" s="2165"/>
      <c r="AI16" s="2165"/>
      <c r="AJ16" s="2165"/>
      <c r="AK16" s="2165"/>
      <c r="AL16" s="2165"/>
      <c r="AM16" s="2165"/>
      <c r="AN16" s="2165"/>
      <c r="AO16" s="2165"/>
      <c r="AP16" s="2165"/>
      <c r="AQ16" s="2165"/>
      <c r="AR16" s="2165"/>
      <c r="AS16" s="2165"/>
      <c r="AT16" s="2165"/>
      <c r="AU16" s="2165"/>
    </row>
    <row r="17" spans="1:62" s="988" customFormat="1" ht="17.45" customHeight="1" x14ac:dyDescent="0.25">
      <c r="A17" s="2503"/>
      <c r="B17"/>
      <c r="C17" s="2977" t="s">
        <v>841</v>
      </c>
      <c r="G17"/>
      <c r="H17"/>
      <c r="P17"/>
      <c r="Q17"/>
      <c r="R17"/>
      <c r="S17" s="2503"/>
      <c r="T17"/>
      <c r="U17"/>
      <c r="V17"/>
      <c r="W17"/>
      <c r="X17"/>
      <c r="Y17" s="2166">
        <v>0.54560324634646251</v>
      </c>
      <c r="Z17" s="2166">
        <v>0.70004898083678035</v>
      </c>
      <c r="AA17" s="2166">
        <v>0.52574288255638679</v>
      </c>
      <c r="AB17" s="2166">
        <v>0.60343631373552076</v>
      </c>
      <c r="AC17" s="2166">
        <v>0.7333636517466332</v>
      </c>
      <c r="AD17" s="2166">
        <v>0.67606685972691383</v>
      </c>
      <c r="AE17" s="2166">
        <v>0.71072139823726099</v>
      </c>
      <c r="AF17" s="2166">
        <v>0.51873259116170045</v>
      </c>
      <c r="AG17" s="2166">
        <v>0.49</v>
      </c>
      <c r="AH17" s="2166">
        <v>0.43</v>
      </c>
      <c r="AI17" s="2166">
        <v>0.4</v>
      </c>
      <c r="AJ17" s="2166">
        <v>0.34</v>
      </c>
      <c r="AK17" s="2166">
        <v>0.35</v>
      </c>
      <c r="AL17" s="2166">
        <v>0.39</v>
      </c>
      <c r="AM17" s="2166">
        <v>0.28999999999999998</v>
      </c>
      <c r="AN17" s="2166">
        <v>0.33</v>
      </c>
      <c r="AO17" s="2166">
        <v>0.40886934917870199</v>
      </c>
      <c r="AP17" s="2166">
        <v>0.38542447573713057</v>
      </c>
      <c r="AQ17" s="2166">
        <v>0.40301049172597841</v>
      </c>
      <c r="AR17" s="2166">
        <v>0.38606560753145419</v>
      </c>
      <c r="AS17" s="2166">
        <v>0.30972924000570351</v>
      </c>
      <c r="AT17" s="2166">
        <v>0.42</v>
      </c>
      <c r="AU17" s="2166">
        <v>0.37</v>
      </c>
      <c r="AV17" s="2166">
        <v>0.32</v>
      </c>
      <c r="AW17" s="2166">
        <v>0.34</v>
      </c>
      <c r="AX17" s="2166">
        <v>0.41</v>
      </c>
      <c r="AY17" s="2166">
        <v>0.24</v>
      </c>
      <c r="AZ17" s="2166">
        <v>0.15</v>
      </c>
      <c r="BA17" s="2166">
        <v>0.2</v>
      </c>
      <c r="BB17" s="2166">
        <v>0.11</v>
      </c>
      <c r="BC17" s="2166">
        <v>0.12</v>
      </c>
      <c r="BD17" s="2166">
        <v>0.08</v>
      </c>
      <c r="BE17" s="2166">
        <v>0.08</v>
      </c>
      <c r="BF17" s="2166">
        <v>0.09</v>
      </c>
      <c r="BG17" s="2166">
        <v>0.13</v>
      </c>
      <c r="BH17" s="2166">
        <v>0.12</v>
      </c>
      <c r="BI17" s="2166">
        <v>0.14000000000000001</v>
      </c>
    </row>
    <row r="18" spans="1:62" s="988" customFormat="1" ht="17.45" customHeight="1" x14ac:dyDescent="0.2">
      <c r="A18" s="2503"/>
      <c r="B18"/>
      <c r="C18"/>
      <c r="D18"/>
      <c r="E18"/>
      <c r="F18"/>
      <c r="G18"/>
      <c r="H18"/>
      <c r="P18"/>
      <c r="Q18"/>
      <c r="R18"/>
      <c r="S18" s="2503"/>
      <c r="T18"/>
      <c r="U18"/>
      <c r="V18"/>
      <c r="W18"/>
      <c r="X18"/>
      <c r="Y18" s="1322"/>
      <c r="Z18" s="1322"/>
      <c r="AA18" s="1322"/>
      <c r="AB18" s="1322"/>
      <c r="AC18" s="1322"/>
      <c r="AD18" s="1322"/>
      <c r="AE18" s="1322"/>
      <c r="AF18" s="1322"/>
      <c r="AG18" s="1322"/>
      <c r="AH18" s="1322"/>
      <c r="AI18" s="1322"/>
      <c r="AJ18" s="1322"/>
      <c r="AK18" s="1322"/>
      <c r="AL18" s="1322"/>
      <c r="AM18" s="1322"/>
      <c r="AN18" s="1322"/>
      <c r="AO18" s="1322"/>
      <c r="AP18" s="1322"/>
      <c r="AQ18" s="1322"/>
      <c r="AR18" s="1322"/>
      <c r="AS18" s="1322"/>
      <c r="AT18" s="1322"/>
      <c r="AU18" s="1322"/>
    </row>
    <row r="19" spans="1:62" s="988" customFormat="1" ht="17.45" customHeight="1" x14ac:dyDescent="0.2">
      <c r="A19" s="2503"/>
      <c r="B19"/>
      <c r="D19"/>
      <c r="E19"/>
      <c r="F19"/>
      <c r="G19"/>
      <c r="H19"/>
      <c r="P19"/>
      <c r="Q19"/>
      <c r="R19"/>
      <c r="S19" s="2503"/>
      <c r="T19"/>
      <c r="U19"/>
      <c r="V19"/>
      <c r="W19"/>
      <c r="X19"/>
      <c r="Z19" s="1331"/>
      <c r="AA19" s="1331"/>
      <c r="AB19" s="1331"/>
      <c r="AC19" s="1331"/>
      <c r="AD19" s="1331"/>
      <c r="AE19" s="1331"/>
      <c r="AF19" s="1331"/>
      <c r="AG19" s="1322"/>
      <c r="AH19" s="1331"/>
      <c r="AI19" s="1322"/>
      <c r="AJ19" s="1322"/>
      <c r="AK19" s="1331"/>
      <c r="AL19" s="1322"/>
      <c r="AM19" s="1322"/>
      <c r="AN19" s="1322"/>
      <c r="AO19" s="1322"/>
      <c r="AP19" s="1322"/>
      <c r="AQ19" s="1322"/>
      <c r="AR19" s="1322"/>
      <c r="AS19" s="1322"/>
      <c r="AT19" s="1322"/>
      <c r="AU19" s="1322"/>
    </row>
    <row r="20" spans="1:62" s="988" customFormat="1" ht="17.45" customHeight="1" x14ac:dyDescent="0.2">
      <c r="A20" s="2503"/>
      <c r="B20"/>
      <c r="C20"/>
      <c r="D20"/>
      <c r="E20"/>
      <c r="F20"/>
      <c r="G20"/>
      <c r="H20"/>
      <c r="P20"/>
      <c r="Q20"/>
      <c r="R20"/>
      <c r="S20" s="2503"/>
      <c r="T20"/>
      <c r="U20"/>
      <c r="V20"/>
      <c r="W20"/>
      <c r="X20"/>
      <c r="Y20" s="1322"/>
      <c r="Z20" s="1322"/>
      <c r="AA20" s="1322"/>
      <c r="AB20" s="1322"/>
      <c r="AC20" s="1322"/>
      <c r="AD20" s="1322"/>
      <c r="AE20" s="1322"/>
      <c r="AF20" s="1322"/>
      <c r="AG20" s="1322"/>
      <c r="AH20" s="1322"/>
      <c r="AI20" s="1322"/>
      <c r="AJ20" s="1322"/>
      <c r="AK20" s="1322"/>
      <c r="AL20" s="1322"/>
      <c r="AM20" s="1322"/>
      <c r="AN20" s="1322"/>
      <c r="AO20" s="1322"/>
      <c r="AP20" s="1322"/>
      <c r="AQ20" s="1322"/>
      <c r="AR20" s="1322"/>
      <c r="AS20" s="1322"/>
      <c r="AT20" s="1322"/>
      <c r="AU20" s="1322"/>
    </row>
    <row r="21" spans="1:62" s="988" customFormat="1" ht="17.45" customHeight="1" x14ac:dyDescent="0.2">
      <c r="A21" s="2503"/>
      <c r="B21"/>
      <c r="C21"/>
      <c r="D21"/>
      <c r="E21"/>
      <c r="F21"/>
      <c r="G21"/>
      <c r="H21"/>
      <c r="I21"/>
      <c r="J21"/>
      <c r="K21"/>
      <c r="L21"/>
      <c r="M21"/>
      <c r="N21"/>
      <c r="O21"/>
      <c r="P21"/>
      <c r="Q21"/>
      <c r="R21"/>
      <c r="S21" s="2503"/>
      <c r="T21"/>
      <c r="U21" s="1318" t="s">
        <v>790</v>
      </c>
      <c r="V21" s="1318"/>
      <c r="X21" s="2164" t="s">
        <v>857</v>
      </c>
      <c r="Y21" s="2167">
        <v>530006</v>
      </c>
      <c r="Z21" s="2167">
        <v>775664</v>
      </c>
      <c r="AA21" s="2167">
        <v>1341798</v>
      </c>
      <c r="AB21" s="2167">
        <v>3205619</v>
      </c>
      <c r="AC21" s="2167">
        <v>5166101</v>
      </c>
      <c r="AD21" s="2167">
        <v>4642871</v>
      </c>
      <c r="AE21" s="2167">
        <v>3903773</v>
      </c>
      <c r="AF21" s="2167">
        <v>1564206</v>
      </c>
      <c r="AG21" s="2167">
        <v>6297233</v>
      </c>
      <c r="AH21" s="2167">
        <v>5394253</v>
      </c>
      <c r="AI21" s="2167">
        <v>3089753</v>
      </c>
      <c r="AJ21" s="2167">
        <v>6555723</v>
      </c>
      <c r="AK21" s="2167">
        <v>6483795</v>
      </c>
      <c r="AL21" s="2167">
        <v>3833091</v>
      </c>
      <c r="AM21" s="2167">
        <v>4245511</v>
      </c>
      <c r="AN21" s="2167">
        <v>2837713</v>
      </c>
      <c r="AO21" s="2167">
        <v>5340439</v>
      </c>
      <c r="AP21" s="2167">
        <v>8414958</v>
      </c>
      <c r="AQ21" s="2167">
        <v>4729853</v>
      </c>
      <c r="AR21" s="2167">
        <v>5245610</v>
      </c>
      <c r="AS21" s="2167">
        <v>3234881</v>
      </c>
      <c r="AT21" s="2167"/>
      <c r="AU21" s="2167"/>
    </row>
    <row r="22" spans="1:62" s="988" customFormat="1" ht="17.45" customHeight="1" x14ac:dyDescent="0.2">
      <c r="A22" s="2503"/>
      <c r="B22"/>
      <c r="C22"/>
      <c r="D22"/>
      <c r="E22"/>
      <c r="F22"/>
      <c r="G22"/>
      <c r="H22"/>
      <c r="I22"/>
      <c r="J22"/>
      <c r="K22"/>
      <c r="L22"/>
      <c r="M22"/>
      <c r="N22"/>
      <c r="O22"/>
      <c r="P22"/>
      <c r="Q22"/>
      <c r="R22"/>
      <c r="S22" s="2503"/>
      <c r="T22"/>
      <c r="U22" s="1318" t="s">
        <v>792</v>
      </c>
      <c r="V22" s="1318"/>
      <c r="X22" s="1332"/>
      <c r="Y22" s="2167">
        <v>45000</v>
      </c>
      <c r="Z22" s="2167">
        <v>380960</v>
      </c>
      <c r="AA22" s="2167">
        <v>315696</v>
      </c>
      <c r="AB22" s="2167">
        <v>818546</v>
      </c>
      <c r="AC22" s="2167">
        <v>1202713</v>
      </c>
      <c r="AD22" s="2167">
        <v>1300288</v>
      </c>
      <c r="AE22" s="2167">
        <v>640617</v>
      </c>
      <c r="AF22" s="2167">
        <v>922946</v>
      </c>
      <c r="AG22" s="2167">
        <v>258221</v>
      </c>
      <c r="AH22" s="2167">
        <v>784568</v>
      </c>
      <c r="AI22" s="2167">
        <v>638436</v>
      </c>
      <c r="AJ22" s="2167">
        <v>3105682</v>
      </c>
      <c r="AK22" s="2167">
        <v>1652705</v>
      </c>
      <c r="AL22" s="2167">
        <v>2014255</v>
      </c>
      <c r="AM22" s="2167">
        <v>456310</v>
      </c>
      <c r="AN22" s="2167">
        <v>615773</v>
      </c>
      <c r="AO22" s="2167">
        <v>1810263</v>
      </c>
      <c r="AP22" s="2167">
        <v>1862973</v>
      </c>
      <c r="AQ22" s="2167">
        <v>1067247</v>
      </c>
      <c r="AR22" s="2167">
        <v>1177469</v>
      </c>
      <c r="AS22" s="2167">
        <v>800259</v>
      </c>
      <c r="AT22" s="2167"/>
      <c r="AU22" s="2167"/>
    </row>
    <row r="23" spans="1:62" s="988" customFormat="1" ht="17.45" customHeight="1" x14ac:dyDescent="0.2">
      <c r="A23" s="2503"/>
      <c r="B23"/>
      <c r="C23"/>
      <c r="D23"/>
      <c r="E23"/>
      <c r="F23"/>
      <c r="G23"/>
      <c r="H23"/>
      <c r="I23"/>
      <c r="J23"/>
      <c r="K23"/>
      <c r="L23"/>
      <c r="M23"/>
      <c r="N23"/>
      <c r="O23"/>
      <c r="P23"/>
      <c r="Q23"/>
      <c r="R23"/>
      <c r="S23" s="2503"/>
      <c r="T23"/>
      <c r="U23" s="1318" t="s">
        <v>793</v>
      </c>
      <c r="V23" s="1318"/>
      <c r="X23" s="1332"/>
      <c r="Y23" s="2167">
        <v>193400</v>
      </c>
      <c r="Z23" s="2167">
        <v>257300</v>
      </c>
      <c r="AA23" s="2167">
        <v>476912</v>
      </c>
      <c r="AB23" s="2167">
        <v>1097814</v>
      </c>
      <c r="AC23" s="2167">
        <v>1619092</v>
      </c>
      <c r="AD23" s="2167">
        <v>2305598</v>
      </c>
      <c r="AE23" s="2167">
        <v>1776467</v>
      </c>
      <c r="AF23" s="2167">
        <v>1047502</v>
      </c>
      <c r="AG23" s="2167">
        <v>2969233</v>
      </c>
      <c r="AH23" s="2167">
        <v>1805426</v>
      </c>
      <c r="AI23" s="2167">
        <v>2259874</v>
      </c>
      <c r="AJ23" s="2167">
        <v>3826339</v>
      </c>
      <c r="AK23" s="2167">
        <v>2568248</v>
      </c>
      <c r="AL23" s="2167">
        <v>2298843</v>
      </c>
      <c r="AM23" s="2167">
        <v>3199158</v>
      </c>
      <c r="AN23" s="2167">
        <v>2135644</v>
      </c>
      <c r="AO23" s="2167">
        <v>1596601</v>
      </c>
      <c r="AP23" s="2167">
        <v>4550662</v>
      </c>
      <c r="AQ23" s="2167">
        <v>2557146</v>
      </c>
      <c r="AR23" s="2167">
        <v>1131026</v>
      </c>
      <c r="AS23" s="2167">
        <v>3606776</v>
      </c>
      <c r="AT23" s="2167"/>
      <c r="AU23" s="2167"/>
    </row>
    <row r="24" spans="1:62" s="988" customFormat="1" ht="17.45" customHeight="1" x14ac:dyDescent="0.2">
      <c r="A24" s="2503"/>
      <c r="B24"/>
      <c r="C24"/>
      <c r="D24"/>
      <c r="E24"/>
      <c r="F24"/>
      <c r="G24"/>
      <c r="H24"/>
      <c r="I24"/>
      <c r="J24"/>
      <c r="K24"/>
      <c r="L24"/>
      <c r="M24"/>
      <c r="N24"/>
      <c r="O24"/>
      <c r="P24"/>
      <c r="Q24"/>
      <c r="R24"/>
      <c r="S24" s="2503"/>
      <c r="T24"/>
      <c r="U24" s="1318" t="s">
        <v>794</v>
      </c>
      <c r="V24" s="1318"/>
      <c r="X24" s="1332"/>
      <c r="Y24" s="2167">
        <v>244418</v>
      </c>
      <c r="Z24" s="2167">
        <v>677568</v>
      </c>
      <c r="AA24" s="2167">
        <v>864100</v>
      </c>
      <c r="AB24" s="2167">
        <v>2863198</v>
      </c>
      <c r="AC24" s="2167">
        <v>4298547</v>
      </c>
      <c r="AD24" s="2167">
        <v>4135978</v>
      </c>
      <c r="AE24" s="2167">
        <v>4581041</v>
      </c>
      <c r="AF24" s="2167">
        <v>1816579</v>
      </c>
      <c r="AG24" s="2167">
        <v>11050599</v>
      </c>
      <c r="AH24" s="2167">
        <v>6701245</v>
      </c>
      <c r="AI24" s="2167">
        <v>4422306</v>
      </c>
      <c r="AJ24" s="2167">
        <v>8321931</v>
      </c>
      <c r="AK24" s="2167">
        <v>9826976</v>
      </c>
      <c r="AL24" s="2167">
        <v>6599133</v>
      </c>
      <c r="AM24" s="2167">
        <v>9076319</v>
      </c>
      <c r="AN24" s="2167">
        <v>4587586</v>
      </c>
      <c r="AO24" s="2167">
        <v>6687533</v>
      </c>
      <c r="AP24" s="2167">
        <v>9854349</v>
      </c>
      <c r="AQ24" s="2167">
        <v>5125233</v>
      </c>
      <c r="AR24" s="2167">
        <v>6071099</v>
      </c>
      <c r="AS24" s="2167">
        <v>9014459</v>
      </c>
      <c r="AT24" s="2167"/>
      <c r="AU24" s="2167"/>
    </row>
    <row r="25" spans="1:62" s="988" customFormat="1" ht="17.45" customHeight="1" x14ac:dyDescent="0.2">
      <c r="A25" s="2503"/>
      <c r="B25"/>
      <c r="C25"/>
      <c r="D25"/>
      <c r="E25"/>
      <c r="F25"/>
      <c r="G25"/>
      <c r="H25"/>
      <c r="I25"/>
      <c r="J25"/>
      <c r="K25"/>
      <c r="L25"/>
      <c r="M25"/>
      <c r="N25"/>
      <c r="O25"/>
      <c r="P25"/>
      <c r="Q25"/>
      <c r="R25"/>
      <c r="S25" s="2503"/>
      <c r="T25"/>
      <c r="U25"/>
      <c r="V25"/>
      <c r="W25"/>
      <c r="X25"/>
      <c r="Y25" s="2167"/>
      <c r="Z25" s="2167"/>
      <c r="AA25" s="2167"/>
      <c r="AB25" s="2167"/>
      <c r="AC25" s="2167"/>
      <c r="AD25" s="2167"/>
      <c r="AE25" s="2167"/>
      <c r="AF25" s="2167"/>
      <c r="AG25" s="2167"/>
      <c r="AH25" s="2167"/>
      <c r="AI25" s="2167"/>
      <c r="AJ25" s="2167"/>
      <c r="AK25" s="2167"/>
      <c r="AL25" s="2167"/>
      <c r="AM25" s="2167"/>
      <c r="AN25" s="2167"/>
      <c r="AO25" s="2167"/>
      <c r="AP25" s="2167"/>
      <c r="AQ25" s="2167"/>
      <c r="AR25" s="2167"/>
      <c r="AS25" s="2167"/>
      <c r="AT25" s="2167"/>
      <c r="AU25" s="2167"/>
    </row>
    <row r="26" spans="1:62" s="988" customFormat="1" ht="17.45" customHeight="1" x14ac:dyDescent="0.25">
      <c r="A26" s="2503"/>
      <c r="B26"/>
      <c r="C26"/>
      <c r="D26"/>
      <c r="E26"/>
      <c r="F26"/>
      <c r="G26"/>
      <c r="H26"/>
      <c r="I26"/>
      <c r="J26"/>
      <c r="K26"/>
      <c r="L26"/>
      <c r="M26"/>
      <c r="N26"/>
      <c r="O26"/>
      <c r="P26"/>
      <c r="Q26"/>
      <c r="R26"/>
      <c r="S26" s="2503"/>
      <c r="T26"/>
      <c r="U26"/>
      <c r="V26"/>
      <c r="W26"/>
      <c r="X26"/>
      <c r="Y26" s="2168">
        <v>1012824</v>
      </c>
      <c r="Z26" s="2168">
        <v>2091492</v>
      </c>
      <c r="AA26" s="2168">
        <v>2998506</v>
      </c>
      <c r="AB26" s="2168">
        <v>7985177</v>
      </c>
      <c r="AC26" s="2168">
        <v>12286453</v>
      </c>
      <c r="AD26" s="2168">
        <v>12384735</v>
      </c>
      <c r="AE26" s="2168">
        <v>10901898</v>
      </c>
      <c r="AF26" s="2168">
        <v>5351233</v>
      </c>
      <c r="AG26" s="2168">
        <f>SUM(AG21:AG25)</f>
        <v>20575286</v>
      </c>
      <c r="AH26" s="2168">
        <f>SUM(AH21:AH25)</f>
        <v>14685492</v>
      </c>
      <c r="AI26" s="2168">
        <f>SUM(AI21:AI25)</f>
        <v>10410369</v>
      </c>
      <c r="AJ26" s="2168">
        <v>21809675</v>
      </c>
      <c r="AK26" s="2168">
        <v>20531724</v>
      </c>
      <c r="AL26" s="2168">
        <v>14745322</v>
      </c>
      <c r="AM26" s="2168">
        <v>16977298</v>
      </c>
      <c r="AN26" s="2168">
        <v>10176716</v>
      </c>
      <c r="AO26" s="2168">
        <v>15434836</v>
      </c>
      <c r="AP26" s="2168">
        <v>24682942</v>
      </c>
      <c r="AQ26" s="2168">
        <v>13479479</v>
      </c>
      <c r="AR26" s="2168">
        <v>13625204</v>
      </c>
      <c r="AS26" s="2168">
        <v>16656375</v>
      </c>
      <c r="AT26" s="2168">
        <v>3661734</v>
      </c>
      <c r="AU26" s="2168">
        <v>8732495</v>
      </c>
    </row>
    <row r="27" spans="1:62" ht="13.9" customHeight="1" x14ac:dyDescent="0.2">
      <c r="A27" s="2503"/>
      <c r="C27" s="1515"/>
      <c r="D27" s="1515"/>
      <c r="F27" s="2159"/>
      <c r="S27" s="2503"/>
    </row>
    <row r="28" spans="1:62" ht="4.7" customHeight="1" x14ac:dyDescent="0.2">
      <c r="A28" s="2503"/>
      <c r="S28" s="2503"/>
    </row>
    <row r="29" spans="1:62" ht="15" customHeight="1" x14ac:dyDescent="0.3">
      <c r="A29" s="2503"/>
      <c r="S29" s="2503"/>
      <c r="Y29" s="2160" t="s">
        <v>126</v>
      </c>
      <c r="AC29" s="2163">
        <v>37165</v>
      </c>
      <c r="AF29" s="2163">
        <v>37559</v>
      </c>
      <c r="AI29" s="2163">
        <v>37895</v>
      </c>
      <c r="AL29" s="2163">
        <v>38261</v>
      </c>
      <c r="AO29" s="2163">
        <v>38626</v>
      </c>
      <c r="AR29" s="2163">
        <v>38991</v>
      </c>
      <c r="AU29" s="2163">
        <v>39388</v>
      </c>
    </row>
    <row r="30" spans="1:62" ht="15" customHeight="1" x14ac:dyDescent="0.25">
      <c r="A30" s="2503"/>
      <c r="S30" s="2503"/>
      <c r="AC30" s="2168">
        <f>Z26+AA26+AB26+AC26</f>
        <v>25361628</v>
      </c>
      <c r="AF30" s="2168">
        <f>AD26+AE26+AF26</f>
        <v>28637866</v>
      </c>
      <c r="AI30" s="2168">
        <f>AG26+AH26+AI26</f>
        <v>45671147</v>
      </c>
      <c r="AL30" s="2168">
        <f>AJ26+AK26+AL26</f>
        <v>57086721</v>
      </c>
      <c r="AO30" s="2168">
        <f>AM26+AN26+AO26</f>
        <v>42588850</v>
      </c>
      <c r="AR30" s="2168">
        <f>AP26+AQ26+AR26</f>
        <v>51787625</v>
      </c>
      <c r="AU30" s="2168">
        <f>AS26+AT26+AU26</f>
        <v>29050604</v>
      </c>
    </row>
    <row r="31" spans="1:62" ht="15" customHeight="1" x14ac:dyDescent="0.2">
      <c r="A31" s="2503"/>
      <c r="S31" s="2503"/>
      <c r="BB31">
        <v>156401896</v>
      </c>
      <c r="BC31">
        <v>172208069</v>
      </c>
      <c r="BD31">
        <v>183643112</v>
      </c>
      <c r="BE31" s="1516">
        <v>273900876</v>
      </c>
      <c r="BF31" s="1516">
        <v>112239701</v>
      </c>
      <c r="BG31" s="1516">
        <v>172292824</v>
      </c>
      <c r="BH31" s="1516">
        <v>178883739</v>
      </c>
      <c r="BI31" s="1516"/>
      <c r="BJ31" s="1516"/>
    </row>
    <row r="32" spans="1:62" ht="15" customHeight="1" x14ac:dyDescent="0.3">
      <c r="A32" s="2503"/>
      <c r="S32" s="2503"/>
      <c r="Y32" s="2160" t="s">
        <v>127</v>
      </c>
      <c r="AC32" s="2166">
        <f>(Z17*Z26+AA17*AA26+AB17*AB26+AC17*AC26)/AC30</f>
        <v>0.66516131548534441</v>
      </c>
      <c r="AF32" s="2166">
        <f>(AD17*AD26+AE17*AE26+AF17*AF26)/AF30</f>
        <v>0.65985992287274475</v>
      </c>
      <c r="AI32" s="2166">
        <f>(AG17*AG26+AH17*AH26+AI17*AI26)/AI30</f>
        <v>0.45019231288410605</v>
      </c>
      <c r="AL32" s="2166">
        <f>(AJ17*AJ26+AK17*AK26+AL17*AL26)/AL30</f>
        <v>0.35651142898888871</v>
      </c>
      <c r="AO32" s="2166">
        <f>(AM17*AM26+AN17*AN26+AO17*AO26)/AO30</f>
        <v>0.34263813298551149</v>
      </c>
      <c r="AR32" s="2166">
        <f>(AP17*AP26+AQ17*AQ26+AR17*AR26)/AR30</f>
        <v>0.39017051081218729</v>
      </c>
      <c r="AU32" s="2166">
        <f>(AS17*AS26+AT17*AT26+AU17*AU26)/AU30</f>
        <v>0.34174565871332663</v>
      </c>
      <c r="BD32" s="2166">
        <f>(BB31*BB17+BC31*BC17+BD31*BD17)/(BB31+BC31+BD31)</f>
        <v>0.10260675466864984</v>
      </c>
      <c r="BG32" s="2166">
        <f>(BE31*BE17+BF31*BF17+BG31*BG17)/(BE31+BF31+BG31)</f>
        <v>9.7436346380004604E-2</v>
      </c>
    </row>
    <row r="33" spans="1:19" ht="15" customHeight="1" x14ac:dyDescent="0.2">
      <c r="A33" s="2503"/>
      <c r="S33" s="2503"/>
    </row>
    <row r="34" spans="1:19" ht="15" customHeight="1" x14ac:dyDescent="0.2">
      <c r="A34" s="2503"/>
      <c r="S34" s="2503"/>
    </row>
    <row r="35" spans="1:19" ht="15" customHeight="1" x14ac:dyDescent="0.2">
      <c r="A35" s="2503"/>
      <c r="S35" s="2503"/>
    </row>
    <row r="36" spans="1:19" ht="15" customHeight="1" x14ac:dyDescent="0.2">
      <c r="A36" s="2503"/>
      <c r="S36" s="2503"/>
    </row>
    <row r="37" spans="1:19" ht="15" customHeight="1" x14ac:dyDescent="0.2">
      <c r="A37" s="2503"/>
      <c r="S37" s="2503"/>
    </row>
    <row r="38" spans="1:19" ht="15" customHeight="1" x14ac:dyDescent="0.2">
      <c r="A38" s="2503"/>
      <c r="S38" s="2503"/>
    </row>
    <row r="39" spans="1:19" ht="15" customHeight="1" x14ac:dyDescent="0.2">
      <c r="A39" s="2503"/>
      <c r="S39" s="2503"/>
    </row>
    <row r="40" spans="1:19" ht="15" customHeight="1" x14ac:dyDescent="0.2">
      <c r="A40" s="2503"/>
      <c r="S40" s="2503"/>
    </row>
    <row r="41" spans="1:19" ht="15" customHeight="1" x14ac:dyDescent="0.2">
      <c r="A41" s="2503"/>
      <c r="S41" s="2503"/>
    </row>
    <row r="42" spans="1:19" ht="15" customHeight="1" x14ac:dyDescent="0.2">
      <c r="A42" s="2503"/>
      <c r="S42" s="2503"/>
    </row>
    <row r="43" spans="1:19" ht="15" customHeight="1" x14ac:dyDescent="0.2">
      <c r="A43" s="2503"/>
      <c r="S43" s="2503"/>
    </row>
    <row r="44" spans="1:19" ht="15" customHeight="1" x14ac:dyDescent="0.2">
      <c r="A44" s="2503"/>
      <c r="S44" s="2503"/>
    </row>
    <row r="45" spans="1:19" ht="15" customHeight="1" x14ac:dyDescent="0.2">
      <c r="A45" s="2503"/>
      <c r="S45" s="2503"/>
    </row>
    <row r="46" spans="1:19" ht="15" customHeight="1" x14ac:dyDescent="0.2">
      <c r="A46" s="2503"/>
      <c r="S46" s="2503"/>
    </row>
    <row r="47" spans="1:19" ht="15" customHeight="1" x14ac:dyDescent="0.2">
      <c r="A47" s="2503"/>
      <c r="S47" s="2503"/>
    </row>
    <row r="48" spans="1:19" ht="15" customHeight="1" x14ac:dyDescent="0.2">
      <c r="A48" s="2503"/>
      <c r="S48" s="2503"/>
    </row>
    <row r="49" spans="1:19" ht="15" customHeight="1" x14ac:dyDescent="0.2">
      <c r="A49" s="2503"/>
      <c r="S49" s="2503"/>
    </row>
    <row r="50" spans="1:19" ht="15" customHeight="1" x14ac:dyDescent="0.2">
      <c r="A50" s="2503"/>
      <c r="S50" s="2503"/>
    </row>
    <row r="51" spans="1:19" ht="15" customHeight="1" x14ac:dyDescent="0.2">
      <c r="A51" s="2503"/>
      <c r="S51" s="2503"/>
    </row>
    <row r="52" spans="1:19" ht="15" customHeight="1" x14ac:dyDescent="0.2">
      <c r="A52" s="2503"/>
      <c r="S52" s="2503"/>
    </row>
    <row r="53" spans="1:19" ht="15" customHeight="1" x14ac:dyDescent="0.2">
      <c r="A53" s="2503"/>
      <c r="S53" s="2503"/>
    </row>
    <row r="54" spans="1:19" ht="15" customHeight="1" x14ac:dyDescent="0.2">
      <c r="A54" s="2503"/>
      <c r="S54" s="2503"/>
    </row>
    <row r="55" spans="1:19" x14ac:dyDescent="0.2">
      <c r="A55" s="2503"/>
      <c r="S55" s="2503"/>
    </row>
    <row r="56" spans="1:19" x14ac:dyDescent="0.2">
      <c r="A56" s="2503"/>
      <c r="B56" s="2503"/>
      <c r="C56" s="2503"/>
      <c r="D56" s="2503"/>
      <c r="E56" s="2503"/>
      <c r="F56" s="2503"/>
      <c r="G56" s="2503"/>
      <c r="H56" s="2503"/>
      <c r="I56" s="2503"/>
      <c r="J56" s="2503"/>
      <c r="K56" s="2503"/>
      <c r="L56" s="2503"/>
      <c r="M56" s="2503"/>
      <c r="N56" s="2503"/>
      <c r="O56" s="2503"/>
      <c r="P56" s="2503"/>
      <c r="Q56" s="2503"/>
      <c r="R56" s="2503"/>
      <c r="S56" s="2503"/>
    </row>
  </sheetData>
  <sheetProtection sheet="1" objects="1" scenarios="1"/>
  <mergeCells count="1">
    <mergeCell ref="C10:G10"/>
  </mergeCells>
  <phoneticPr fontId="0" type="noConversion"/>
  <hyperlinks>
    <hyperlink ref="H3" location="Preisstatistik!B4:B20" display="Milchpreis"/>
    <hyperlink ref="K3" location="Preisstatistik!B40:B57" display="Schlachtkuhpreis"/>
    <hyperlink ref="M3" location="Preisstatistik!B22:B38" display="Nutz-und Schlachtkälberpreise"/>
    <hyperlink ref="C3" location="'Preisstatistik (2)'!B19:B50" display="Quotenpreis"/>
  </hyperlinks>
  <pageMargins left="0.78740157480314965" right="0.78740157480314965" top="0.35433070866141736" bottom="0.59055118110236227" header="0.23622047244094491" footer="0.31496062992125984"/>
  <pageSetup paperSize="9" scale="61" firstPageNumber="49" orientation="landscape" useFirstPageNumber="1" r:id="rId1"/>
  <headerFooter alignWithMargins="0">
    <oddFooter>&amp;LLEL Schwbisch Gmünd;
&amp;D&amp;C&amp;"Arial,Fett"&amp;12&amp;P&amp;RKalkulationsdaten Milchviehhaltung;
&amp;F  &amp;A</oddFooter>
  </headerFooter>
  <rowBreaks count="1" manualBreakCount="1">
    <brk id="55" max="1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tabColor rgb="FF00B0F0"/>
  </sheetPr>
  <dimension ref="A1:AN177"/>
  <sheetViews>
    <sheetView showGridLines="0" topLeftCell="A139" zoomScale="110" zoomScaleNormal="100" workbookViewId="0">
      <selection activeCell="J172" sqref="J172"/>
    </sheetView>
  </sheetViews>
  <sheetFormatPr baseColWidth="10" defaultRowHeight="12.75" x14ac:dyDescent="0.2"/>
  <cols>
    <col min="1" max="1" width="1.42578125" customWidth="1"/>
    <col min="2" max="2" width="13.7109375" customWidth="1"/>
    <col min="3" max="3" width="6.140625" customWidth="1"/>
    <col min="4" max="4" width="9.42578125" customWidth="1"/>
    <col min="5" max="5" width="9.28515625" customWidth="1"/>
    <col min="6" max="6" width="10.42578125" customWidth="1"/>
    <col min="7" max="7" width="9.42578125" customWidth="1"/>
    <col min="8" max="11" width="8.42578125" customWidth="1"/>
    <col min="12" max="12" width="3.7109375" customWidth="1"/>
    <col min="13" max="14" width="7.28515625" customWidth="1"/>
    <col min="15" max="15" width="16.7109375" customWidth="1"/>
    <col min="16" max="17" width="9.28515625" customWidth="1"/>
    <col min="18" max="18" width="14.7109375" customWidth="1"/>
    <col min="19" max="19" width="14.85546875" customWidth="1"/>
    <col min="20" max="20" width="12.42578125" customWidth="1"/>
  </cols>
  <sheetData>
    <row r="1" spans="1:40" x14ac:dyDescent="0.2">
      <c r="A1" s="2503"/>
      <c r="B1" s="2503"/>
      <c r="C1" s="2503"/>
      <c r="D1" s="2503"/>
      <c r="E1" s="2503"/>
      <c r="F1" s="2951" t="s">
        <v>707</v>
      </c>
      <c r="G1" s="2503"/>
      <c r="H1" s="2951" t="s">
        <v>785</v>
      </c>
      <c r="I1" s="2503"/>
      <c r="J1" s="2951" t="s">
        <v>786</v>
      </c>
      <c r="K1" s="2503"/>
      <c r="L1" s="2503"/>
    </row>
    <row r="2" spans="1:40" x14ac:dyDescent="0.2">
      <c r="A2" s="2503"/>
      <c r="L2" s="2503"/>
    </row>
    <row r="3" spans="1:40" x14ac:dyDescent="0.2">
      <c r="A3" s="2503"/>
      <c r="L3" s="2503"/>
    </row>
    <row r="4" spans="1:40" ht="15.75" x14ac:dyDescent="0.25">
      <c r="A4" s="2503"/>
      <c r="B4" s="619" t="s">
        <v>818</v>
      </c>
      <c r="L4" s="2503"/>
      <c r="Y4" s="1538" t="s">
        <v>829</v>
      </c>
      <c r="Z4" s="259"/>
      <c r="AA4" s="259"/>
      <c r="AB4" s="259"/>
      <c r="AC4" s="259"/>
      <c r="AD4" s="336"/>
    </row>
    <row r="5" spans="1:40" ht="10.9" customHeight="1" x14ac:dyDescent="0.2">
      <c r="A5" s="2503"/>
      <c r="B5" s="1564" t="s">
        <v>1024</v>
      </c>
      <c r="L5" s="2503"/>
      <c r="R5" s="1600" t="s">
        <v>819</v>
      </c>
      <c r="S5" s="1601" t="s">
        <v>1020</v>
      </c>
      <c r="T5" s="1602" t="s">
        <v>1018</v>
      </c>
      <c r="Y5" s="37"/>
      <c r="Z5" s="28"/>
      <c r="AA5" s="3902" t="s">
        <v>1573</v>
      </c>
      <c r="AB5" s="28"/>
      <c r="AC5" s="28"/>
      <c r="AD5" s="300"/>
    </row>
    <row r="6" spans="1:40" ht="15.75" x14ac:dyDescent="0.25">
      <c r="A6" s="2503"/>
      <c r="C6" s="619"/>
      <c r="L6" s="2503"/>
      <c r="R6" s="1589">
        <v>450</v>
      </c>
      <c r="S6" s="1592">
        <v>28.6</v>
      </c>
      <c r="T6" s="1597">
        <f t="shared" ref="T6:T13" si="0">$U$10*S6</f>
        <v>10439</v>
      </c>
      <c r="W6" t="s">
        <v>1019</v>
      </c>
      <c r="Y6" s="1533">
        <v>3</v>
      </c>
      <c r="Z6" s="2498">
        <v>2.8</v>
      </c>
      <c r="AA6" s="28"/>
      <c r="AB6" s="28"/>
      <c r="AC6" s="28"/>
      <c r="AD6" s="300"/>
    </row>
    <row r="7" spans="1:40" ht="12.6" customHeight="1" x14ac:dyDescent="0.2">
      <c r="A7" s="2503"/>
      <c r="L7" s="2503"/>
      <c r="R7" s="37">
        <v>500</v>
      </c>
      <c r="S7" s="1593">
        <v>31</v>
      </c>
      <c r="T7" s="1598">
        <f t="shared" si="0"/>
        <v>11315</v>
      </c>
      <c r="W7" s="1591">
        <f t="shared" ref="W7:W13" si="1">T7-T6</f>
        <v>876</v>
      </c>
      <c r="Y7" s="1533">
        <v>3.1</v>
      </c>
      <c r="Z7" s="1534">
        <f>$Z$6+($Z$11-$Z$6)/5*1</f>
        <v>2.84</v>
      </c>
      <c r="AA7" s="28"/>
      <c r="AB7" s="28"/>
      <c r="AC7" s="28"/>
      <c r="AD7" s="300"/>
      <c r="AG7" t="s">
        <v>1077</v>
      </c>
      <c r="AH7" s="1287" t="s">
        <v>857</v>
      </c>
      <c r="AI7">
        <v>5000</v>
      </c>
      <c r="AJ7">
        <v>6000</v>
      </c>
      <c r="AK7">
        <v>7000</v>
      </c>
      <c r="AL7">
        <v>8000</v>
      </c>
      <c r="AM7">
        <v>9000</v>
      </c>
      <c r="AN7">
        <v>10000</v>
      </c>
    </row>
    <row r="8" spans="1:40" ht="14.45" customHeight="1" x14ac:dyDescent="0.2">
      <c r="A8" s="2503"/>
      <c r="B8" t="s">
        <v>1018</v>
      </c>
      <c r="G8" s="2059">
        <v>650</v>
      </c>
      <c r="H8" s="1532" t="s">
        <v>820</v>
      </c>
      <c r="J8" s="1516">
        <f>VLOOKUP(G8,R6:T13,3,FALSE)</f>
        <v>13760.500000000002</v>
      </c>
      <c r="K8" t="s">
        <v>572</v>
      </c>
      <c r="L8" s="2503"/>
      <c r="R8" s="37">
        <v>550</v>
      </c>
      <c r="S8" s="1593">
        <v>33.299999999999997</v>
      </c>
      <c r="T8" s="1598">
        <f t="shared" si="0"/>
        <v>12154.499999999998</v>
      </c>
      <c r="W8" s="1591">
        <f t="shared" si="1"/>
        <v>839.49999999999818</v>
      </c>
      <c r="Y8" s="1533">
        <v>3.2</v>
      </c>
      <c r="Z8" s="1534">
        <f>$Z$6+($Z$11-$Z$6)/5*2</f>
        <v>2.88</v>
      </c>
      <c r="AA8" s="28"/>
      <c r="AB8" s="28"/>
      <c r="AC8" s="28"/>
      <c r="AD8" s="300"/>
    </row>
    <row r="9" spans="1:40" x14ac:dyDescent="0.2">
      <c r="A9" s="2503"/>
      <c r="B9" t="s">
        <v>1023</v>
      </c>
      <c r="J9" s="1516">
        <f>T16</f>
        <v>651</v>
      </c>
      <c r="K9" t="s">
        <v>572</v>
      </c>
      <c r="L9" s="2503"/>
      <c r="R9" s="1590">
        <v>600</v>
      </c>
      <c r="S9" s="1594">
        <v>35.5</v>
      </c>
      <c r="T9" s="1598">
        <f t="shared" si="0"/>
        <v>12957.5</v>
      </c>
      <c r="W9" s="1591">
        <f t="shared" si="1"/>
        <v>803.00000000000182</v>
      </c>
      <c r="Y9" s="1533">
        <v>3.3</v>
      </c>
      <c r="Z9" s="1534">
        <f>$Z$6+($Z$11-$Z$6)/5*3</f>
        <v>2.92</v>
      </c>
      <c r="AA9" s="28"/>
      <c r="AB9" s="28"/>
      <c r="AC9" s="28"/>
      <c r="AD9" s="300"/>
    </row>
    <row r="10" spans="1:40" x14ac:dyDescent="0.2">
      <c r="A10" s="2503"/>
      <c r="B10" s="1540" t="s">
        <v>826</v>
      </c>
      <c r="J10" s="3015">
        <f>SUM(J8:J9)</f>
        <v>14411.500000000002</v>
      </c>
      <c r="K10" s="1515" t="s">
        <v>572</v>
      </c>
      <c r="L10" s="2503"/>
      <c r="R10" s="1529">
        <v>650</v>
      </c>
      <c r="S10" s="1595">
        <v>37.700000000000003</v>
      </c>
      <c r="T10" s="1599">
        <f t="shared" si="0"/>
        <v>13760.500000000002</v>
      </c>
      <c r="U10" s="1596">
        <v>365</v>
      </c>
      <c r="V10" s="28" t="s">
        <v>1017</v>
      </c>
      <c r="W10" s="1591">
        <f t="shared" si="1"/>
        <v>803.00000000000182</v>
      </c>
      <c r="X10" s="28"/>
      <c r="Y10" s="1533">
        <v>3.4</v>
      </c>
      <c r="Z10" s="1534">
        <f>$Z$6+($Z$11-$Z$6)/5*4</f>
        <v>2.96</v>
      </c>
      <c r="AA10" s="28"/>
      <c r="AB10" s="28"/>
      <c r="AC10" s="28"/>
      <c r="AD10" s="300"/>
      <c r="AG10" t="s">
        <v>868</v>
      </c>
      <c r="AH10" s="1287" t="s">
        <v>572</v>
      </c>
      <c r="AI10">
        <v>24334</v>
      </c>
      <c r="AJ10">
        <v>24998</v>
      </c>
      <c r="AK10">
        <v>25642</v>
      </c>
      <c r="AL10">
        <v>26296</v>
      </c>
      <c r="AM10">
        <v>26950</v>
      </c>
      <c r="AN10">
        <v>26950</v>
      </c>
    </row>
    <row r="11" spans="1:40" ht="12.6" customHeight="1" x14ac:dyDescent="0.25">
      <c r="A11" s="2503"/>
      <c r="B11" s="1551" t="s">
        <v>1025</v>
      </c>
      <c r="J11" s="1515"/>
      <c r="K11" s="1515"/>
      <c r="L11" s="2503"/>
      <c r="R11" s="37">
        <v>700</v>
      </c>
      <c r="S11" s="1593">
        <v>39.9</v>
      </c>
      <c r="T11" s="1598">
        <f t="shared" si="0"/>
        <v>14563.5</v>
      </c>
      <c r="W11" s="1591">
        <f t="shared" si="1"/>
        <v>802.99999999999818</v>
      </c>
      <c r="Y11" s="1533">
        <v>3.5</v>
      </c>
      <c r="Z11" s="2498">
        <v>3</v>
      </c>
      <c r="AA11" s="3902">
        <v>3.1</v>
      </c>
      <c r="AB11" s="28"/>
      <c r="AC11" s="28"/>
      <c r="AD11" s="300"/>
      <c r="AG11" t="s">
        <v>64</v>
      </c>
      <c r="AH11" s="1287" t="s">
        <v>572</v>
      </c>
      <c r="AI11">
        <v>6368</v>
      </c>
      <c r="AJ11">
        <v>9142</v>
      </c>
      <c r="AK11">
        <v>11897</v>
      </c>
      <c r="AL11">
        <v>14653</v>
      </c>
      <c r="AM11">
        <v>17408</v>
      </c>
      <c r="AN11">
        <v>20853</v>
      </c>
    </row>
    <row r="12" spans="1:40" ht="13.5" x14ac:dyDescent="0.25">
      <c r="A12" s="2503"/>
      <c r="B12" s="1551"/>
      <c r="J12" s="1515"/>
      <c r="K12" s="1515"/>
      <c r="L12" s="2503"/>
      <c r="R12" s="37">
        <v>750</v>
      </c>
      <c r="S12" s="1593">
        <v>42</v>
      </c>
      <c r="T12" s="1598">
        <f t="shared" si="0"/>
        <v>15330</v>
      </c>
      <c r="W12" s="1591">
        <f t="shared" si="1"/>
        <v>766.5</v>
      </c>
      <c r="Y12" s="1533">
        <v>3.6</v>
      </c>
      <c r="Z12" s="1534">
        <f>$Z$11+($Z$16-$Z$11)/5*1</f>
        <v>3.04</v>
      </c>
      <c r="AA12" s="28"/>
      <c r="AB12" s="28"/>
      <c r="AC12" s="28"/>
      <c r="AD12" s="300"/>
      <c r="AH12" s="1287" t="s">
        <v>572</v>
      </c>
      <c r="AI12" s="1515">
        <f t="shared" ref="AI12:AN12" si="2">SUM(AI10:AI11)</f>
        <v>30702</v>
      </c>
      <c r="AJ12" s="1515">
        <f t="shared" si="2"/>
        <v>34140</v>
      </c>
      <c r="AK12" s="1515">
        <f t="shared" si="2"/>
        <v>37539</v>
      </c>
      <c r="AL12" s="1515">
        <f t="shared" si="2"/>
        <v>40949</v>
      </c>
      <c r="AM12" s="1515">
        <f t="shared" si="2"/>
        <v>44358</v>
      </c>
      <c r="AN12" s="1515">
        <f t="shared" si="2"/>
        <v>47803</v>
      </c>
    </row>
    <row r="13" spans="1:40" ht="14.45" customHeight="1" x14ac:dyDescent="0.2">
      <c r="A13" s="2503"/>
      <c r="L13" s="2503"/>
      <c r="R13" s="37">
        <v>800</v>
      </c>
      <c r="S13" s="1593">
        <v>44.1</v>
      </c>
      <c r="T13" s="1598">
        <f t="shared" si="0"/>
        <v>16096.5</v>
      </c>
      <c r="W13" s="1591">
        <f t="shared" si="1"/>
        <v>766.5</v>
      </c>
      <c r="Y13" s="1533">
        <v>3.7</v>
      </c>
      <c r="Z13" s="1534">
        <f>$Z$11+($Z$16-$Z$11)/5*2</f>
        <v>3.08</v>
      </c>
      <c r="AA13" s="28"/>
      <c r="AB13" s="28"/>
      <c r="AC13" s="28"/>
      <c r="AD13" s="300"/>
    </row>
    <row r="14" spans="1:40" x14ac:dyDescent="0.2">
      <c r="A14" s="2503"/>
      <c r="B14" s="1540" t="s">
        <v>827</v>
      </c>
      <c r="G14" s="2060">
        <f>AB26/100</f>
        <v>4.2</v>
      </c>
      <c r="H14" t="s">
        <v>828</v>
      </c>
      <c r="J14" s="2497">
        <f>VLOOKUP(G14,$Y$6:$Z$26,2,FALSE)</f>
        <v>3.2800000000000002</v>
      </c>
      <c r="K14" s="1515" t="s">
        <v>572</v>
      </c>
      <c r="L14" s="2503"/>
      <c r="O14" s="436"/>
      <c r="P14" s="259"/>
      <c r="Q14" s="259"/>
      <c r="R14" s="1603" t="s">
        <v>1026</v>
      </c>
      <c r="S14" s="3900">
        <v>18</v>
      </c>
      <c r="T14" s="1604">
        <f>S14*U14</f>
        <v>378</v>
      </c>
      <c r="U14" s="1531">
        <v>21</v>
      </c>
      <c r="V14" s="28" t="s">
        <v>1017</v>
      </c>
      <c r="Y14" s="1533">
        <v>3.8</v>
      </c>
      <c r="Z14" s="1534">
        <f>$Z$11+($Z$16-$Z$11)/5*3</f>
        <v>3.12</v>
      </c>
      <c r="AA14" s="28"/>
      <c r="AB14" s="28"/>
      <c r="AC14" s="28"/>
      <c r="AD14" s="300"/>
      <c r="AH14" s="1287" t="s">
        <v>869</v>
      </c>
      <c r="AI14" s="946">
        <f t="shared" ref="AI14:AN14" si="3">AI12/AI7</f>
        <v>6.1403999999999996</v>
      </c>
      <c r="AJ14" s="946">
        <f t="shared" si="3"/>
        <v>5.69</v>
      </c>
      <c r="AK14" s="946">
        <f t="shared" si="3"/>
        <v>5.3627142857142855</v>
      </c>
      <c r="AL14" s="946">
        <f t="shared" si="3"/>
        <v>5.1186249999999998</v>
      </c>
      <c r="AM14" s="946">
        <f t="shared" si="3"/>
        <v>4.9286666666666665</v>
      </c>
      <c r="AN14" s="946">
        <f t="shared" si="3"/>
        <v>4.7803000000000004</v>
      </c>
    </row>
    <row r="15" spans="1:40" ht="13.5" x14ac:dyDescent="0.25">
      <c r="A15" s="2503"/>
      <c r="B15" s="1551" t="s">
        <v>871</v>
      </c>
      <c r="J15" s="1515"/>
      <c r="K15" s="1515"/>
      <c r="L15" s="2503"/>
      <c r="O15" s="37"/>
      <c r="P15" s="28"/>
      <c r="Q15" s="28"/>
      <c r="R15" s="1605" t="s">
        <v>1027</v>
      </c>
      <c r="S15" s="3901">
        <v>13</v>
      </c>
      <c r="T15" s="1606">
        <f>S15*U15</f>
        <v>273</v>
      </c>
      <c r="U15" s="1608">
        <v>21</v>
      </c>
      <c r="V15" s="28" t="s">
        <v>1017</v>
      </c>
      <c r="Y15" s="1533">
        <v>3.9</v>
      </c>
      <c r="Z15" s="1534">
        <f>$Z$11+($Z$16-$Z$11)/5*4</f>
        <v>3.16</v>
      </c>
      <c r="AA15" s="28"/>
      <c r="AB15" s="28"/>
      <c r="AC15" s="28"/>
      <c r="AD15" s="300"/>
    </row>
    <row r="16" spans="1:40" ht="14.45" customHeight="1" x14ac:dyDescent="0.2">
      <c r="A16" s="2503"/>
      <c r="B16" s="1564"/>
      <c r="J16" s="1515"/>
      <c r="K16" s="1515"/>
      <c r="L16" s="2503"/>
      <c r="O16" s="641"/>
      <c r="P16" s="16"/>
      <c r="Q16" s="16"/>
      <c r="R16" s="16"/>
      <c r="S16" s="16"/>
      <c r="T16" s="1607">
        <f>SUM(T14:T15)</f>
        <v>651</v>
      </c>
      <c r="Y16" s="1533">
        <v>4</v>
      </c>
      <c r="Z16" s="2498">
        <v>3.2</v>
      </c>
      <c r="AA16" s="3902">
        <v>3.3</v>
      </c>
      <c r="AB16" s="28"/>
      <c r="AC16" s="28"/>
      <c r="AD16" s="300"/>
      <c r="AH16" s="1287" t="s">
        <v>872</v>
      </c>
      <c r="AI16" s="945">
        <v>6</v>
      </c>
      <c r="AJ16" s="945">
        <v>6.2</v>
      </c>
      <c r="AK16" s="945">
        <v>6.4</v>
      </c>
      <c r="AL16" s="945">
        <v>6.6</v>
      </c>
      <c r="AM16" s="945">
        <v>6.8</v>
      </c>
      <c r="AN16" s="945">
        <v>7</v>
      </c>
    </row>
    <row r="17" spans="1:40" x14ac:dyDescent="0.2">
      <c r="A17" s="2503"/>
      <c r="L17" s="2503"/>
      <c r="S17" s="3848" t="s">
        <v>1572</v>
      </c>
      <c r="Y17" s="1533">
        <v>4.0999999999999996</v>
      </c>
      <c r="Z17" s="1534">
        <f>$Z$16+($Z$21-$Z$16)/5*1</f>
        <v>3.24</v>
      </c>
      <c r="AA17" s="28"/>
      <c r="AB17" s="28"/>
      <c r="AC17" s="28"/>
      <c r="AD17" s="300"/>
      <c r="AH17" t="s">
        <v>870</v>
      </c>
      <c r="AI17" s="945">
        <v>14</v>
      </c>
      <c r="AJ17" s="945">
        <v>15.1</v>
      </c>
      <c r="AK17" s="945">
        <v>16.100000000000001</v>
      </c>
      <c r="AL17" s="945">
        <v>17</v>
      </c>
      <c r="AM17" s="945">
        <v>17.899999999999999</v>
      </c>
      <c r="AN17" s="945">
        <v>18.7</v>
      </c>
    </row>
    <row r="18" spans="1:40" ht="13.9" customHeight="1" x14ac:dyDescent="0.2">
      <c r="A18" s="2503"/>
      <c r="B18" s="1540" t="s">
        <v>830</v>
      </c>
      <c r="J18" s="2061">
        <v>10</v>
      </c>
      <c r="K18" s="1515" t="s">
        <v>961</v>
      </c>
      <c r="L18" s="2503"/>
      <c r="Y18" s="1533">
        <v>4.2</v>
      </c>
      <c r="Z18" s="1534">
        <f>$Z$16+($Z$21-$Z$16)/5*2</f>
        <v>3.2800000000000002</v>
      </c>
      <c r="AA18" s="28"/>
      <c r="AB18" s="28"/>
      <c r="AC18" s="28"/>
      <c r="AD18" s="300"/>
    </row>
    <row r="19" spans="1:40" x14ac:dyDescent="0.2">
      <c r="A19" s="2503"/>
      <c r="L19" s="2503"/>
      <c r="Y19" s="1533">
        <v>4.3</v>
      </c>
      <c r="Z19" s="1534">
        <f>$Z$16+($Z$21-$Z$16)/5*3</f>
        <v>3.32</v>
      </c>
      <c r="AA19" s="28"/>
      <c r="AB19" s="28"/>
      <c r="AC19" s="28"/>
      <c r="AD19" s="300"/>
    </row>
    <row r="20" spans="1:40" x14ac:dyDescent="0.2">
      <c r="A20" s="2503"/>
      <c r="L20" s="2503"/>
      <c r="Y20" s="1533">
        <v>4.4000000000000004</v>
      </c>
      <c r="Z20" s="1534">
        <f>$Z$16+($Z$21-$Z$16)/5*4</f>
        <v>3.36</v>
      </c>
      <c r="AA20" s="28"/>
      <c r="AB20" s="28"/>
      <c r="AC20" s="28"/>
      <c r="AD20" s="300"/>
      <c r="AH20" t="s">
        <v>873</v>
      </c>
      <c r="AI20" s="946">
        <f t="shared" ref="AI20:AN20" si="4">AI11/$F$30/100</f>
        <v>9.5044776119402972</v>
      </c>
      <c r="AJ20" s="946">
        <f t="shared" si="4"/>
        <v>13.644776119402984</v>
      </c>
      <c r="AK20" s="946">
        <f t="shared" si="4"/>
        <v>17.756716417910447</v>
      </c>
      <c r="AL20" s="946">
        <f t="shared" si="4"/>
        <v>21.870149253731341</v>
      </c>
      <c r="AM20" s="946">
        <f t="shared" si="4"/>
        <v>25.982089552238804</v>
      </c>
      <c r="AN20" s="946">
        <f t="shared" si="4"/>
        <v>31.123880597014921</v>
      </c>
    </row>
    <row r="21" spans="1:40" ht="14.45" customHeight="1" x14ac:dyDescent="0.2">
      <c r="A21" s="2503"/>
      <c r="L21" s="2503"/>
      <c r="Q21" s="2063">
        <v>2</v>
      </c>
      <c r="R21" s="1542" t="s">
        <v>800</v>
      </c>
      <c r="Y21" s="1533">
        <v>4.5</v>
      </c>
      <c r="Z21" s="2498">
        <v>3.4</v>
      </c>
      <c r="AA21" s="3902">
        <v>3.5</v>
      </c>
      <c r="AB21" s="28"/>
      <c r="AC21" s="28"/>
      <c r="AD21" s="300"/>
    </row>
    <row r="22" spans="1:40" x14ac:dyDescent="0.2">
      <c r="A22" s="2503"/>
      <c r="B22" s="4056" t="s">
        <v>638</v>
      </c>
      <c r="C22" s="4057"/>
      <c r="D22" s="4057"/>
      <c r="E22" s="4057"/>
      <c r="F22" s="4057"/>
      <c r="G22" s="4057"/>
      <c r="H22" s="4057"/>
      <c r="I22" s="4057"/>
      <c r="J22" s="4057"/>
      <c r="K22" s="4058"/>
      <c r="L22" s="2503"/>
      <c r="Y22" s="1533">
        <v>4.5999999999999996</v>
      </c>
      <c r="Z22" s="1534">
        <f>$Z$21+($Z$26-$Z$21)/5*1</f>
        <v>3.44</v>
      </c>
      <c r="AA22" s="28"/>
      <c r="AB22" s="28"/>
      <c r="AC22" s="28"/>
      <c r="AD22" s="300"/>
    </row>
    <row r="23" spans="1:40" x14ac:dyDescent="0.2">
      <c r="A23" s="2503"/>
      <c r="B23" s="4059"/>
      <c r="C23" s="4060"/>
      <c r="D23" s="4060"/>
      <c r="E23" s="4060"/>
      <c r="F23" s="4060"/>
      <c r="G23" s="4060"/>
      <c r="H23" s="4060"/>
      <c r="I23" s="4060"/>
      <c r="J23" s="4060"/>
      <c r="K23" s="4061"/>
      <c r="L23" s="2503"/>
      <c r="Q23">
        <v>1</v>
      </c>
      <c r="R23" t="s">
        <v>837</v>
      </c>
      <c r="S23">
        <v>6.2</v>
      </c>
      <c r="T23" t="s">
        <v>836</v>
      </c>
      <c r="Y23" s="1533">
        <v>4.7</v>
      </c>
      <c r="Z23" s="1534">
        <f>$Z$21+($Z$26-$Z$21)/5*2</f>
        <v>3.48</v>
      </c>
      <c r="AA23" s="28"/>
      <c r="AB23" s="28"/>
      <c r="AC23" s="28"/>
      <c r="AD23" s="300"/>
    </row>
    <row r="24" spans="1:40" ht="20.45" customHeight="1" x14ac:dyDescent="0.2">
      <c r="A24" s="2503"/>
      <c r="B24" s="1541" t="s">
        <v>38</v>
      </c>
      <c r="C24" s="1539"/>
      <c r="D24" s="1539"/>
      <c r="E24" s="1539"/>
      <c r="F24" s="3016" t="s">
        <v>71</v>
      </c>
      <c r="G24" s="1579">
        <v>2500</v>
      </c>
      <c r="H24" s="1578">
        <v>3000</v>
      </c>
      <c r="I24" s="1579">
        <v>3500</v>
      </c>
      <c r="J24" s="1578">
        <v>4000</v>
      </c>
      <c r="K24" s="1578">
        <v>4500</v>
      </c>
      <c r="L24" s="2503"/>
      <c r="N24" s="3020"/>
      <c r="Q24">
        <v>2</v>
      </c>
      <c r="R24" t="s">
        <v>73</v>
      </c>
      <c r="S24">
        <v>6.7</v>
      </c>
      <c r="T24" t="s">
        <v>836</v>
      </c>
      <c r="Y24" s="1533">
        <v>4.8</v>
      </c>
      <c r="Z24" s="1534">
        <f>$Z$21+($Z$26-$Z$21)/5*3</f>
        <v>3.52</v>
      </c>
      <c r="AA24" s="28"/>
      <c r="AB24" s="28"/>
      <c r="AC24" s="28"/>
      <c r="AD24" s="300"/>
    </row>
    <row r="25" spans="1:40" ht="20.45" customHeight="1" x14ac:dyDescent="0.25">
      <c r="A25" s="2503"/>
      <c r="B25" s="1543" t="s">
        <v>1097</v>
      </c>
      <c r="C25" s="1544"/>
      <c r="D25" s="1544"/>
      <c r="E25" s="1545"/>
      <c r="F25" s="1577" t="s">
        <v>572</v>
      </c>
      <c r="G25" s="1581">
        <f>($J$10+G24*$J$14)*(100+$J$18)/100</f>
        <v>24872.65</v>
      </c>
      <c r="H25" s="1580">
        <f>($J$10+H24*$J$14)*(100+$J$18)/100</f>
        <v>26676.65</v>
      </c>
      <c r="I25" s="1581">
        <f>($J$10+I24*$J$14)*(100+$J$18)/100</f>
        <v>28480.65</v>
      </c>
      <c r="J25" s="1580">
        <f>($J$10+J24*$J$14)*(100+$J$18)/100</f>
        <v>30284.650000000005</v>
      </c>
      <c r="K25" s="1580">
        <f>($J$10+K24*$J$14)*(100+$J$18)/100</f>
        <v>32088.650000000005</v>
      </c>
      <c r="L25" s="1680" t="s">
        <v>720</v>
      </c>
      <c r="Y25" s="1533">
        <v>4.9000000000000004</v>
      </c>
      <c r="Z25" s="1534">
        <f>$Z$21+($Z$26-$Z$21)/5*3</f>
        <v>3.52</v>
      </c>
      <c r="AA25" s="28"/>
      <c r="AB25" s="1535" t="s">
        <v>207</v>
      </c>
      <c r="AC25" s="1535"/>
      <c r="AD25" s="1536"/>
    </row>
    <row r="26" spans="1:40" ht="17.45" customHeight="1" x14ac:dyDescent="0.2">
      <c r="A26" s="2503"/>
      <c r="B26" s="1559" t="s">
        <v>72</v>
      </c>
      <c r="F26" s="438"/>
      <c r="G26" s="1570"/>
      <c r="H26" s="1546"/>
      <c r="I26" s="1546"/>
      <c r="J26" s="1546"/>
      <c r="K26" s="1550"/>
      <c r="L26" s="2503"/>
      <c r="Y26" s="1537">
        <v>5</v>
      </c>
      <c r="Z26" s="2499">
        <v>3.6</v>
      </c>
      <c r="AA26" s="16"/>
      <c r="AB26" s="2062">
        <v>420</v>
      </c>
      <c r="AC26" s="2500"/>
      <c r="AD26" s="2501"/>
    </row>
    <row r="27" spans="1:40" ht="26.45" customHeight="1" x14ac:dyDescent="0.2">
      <c r="A27" s="2503"/>
      <c r="B27" s="4065" t="s">
        <v>1129</v>
      </c>
      <c r="C27" s="4066"/>
      <c r="D27" s="4066"/>
      <c r="E27" s="4066"/>
      <c r="F27" s="4066"/>
      <c r="G27" s="4066"/>
      <c r="H27" s="4066"/>
      <c r="I27" s="4066"/>
      <c r="J27" s="4066"/>
      <c r="K27" s="4067"/>
      <c r="L27" s="2503"/>
    </row>
    <row r="28" spans="1:40" ht="8.4499999999999993" customHeight="1" x14ac:dyDescent="0.2">
      <c r="A28" s="2503"/>
      <c r="B28" s="1529"/>
      <c r="C28" s="28"/>
      <c r="D28" s="28"/>
      <c r="E28" s="28"/>
      <c r="F28" s="438"/>
      <c r="G28" s="1570"/>
      <c r="H28" s="1546"/>
      <c r="I28" s="1546"/>
      <c r="J28" s="1546"/>
      <c r="K28" s="1550"/>
      <c r="L28" s="2503"/>
    </row>
    <row r="29" spans="1:40" ht="8.4499999999999993" customHeight="1" x14ac:dyDescent="0.2">
      <c r="A29" s="2503"/>
      <c r="B29" s="1529"/>
      <c r="C29" s="28"/>
      <c r="D29" s="28"/>
      <c r="E29" s="28"/>
      <c r="F29" s="438"/>
      <c r="G29" s="1570"/>
      <c r="H29" s="1546"/>
      <c r="I29" s="1546"/>
      <c r="J29" s="1546"/>
      <c r="K29" s="1550"/>
      <c r="L29" s="2503"/>
      <c r="Y29" s="3877"/>
    </row>
    <row r="30" spans="1:40" ht="15.6" customHeight="1" x14ac:dyDescent="0.2">
      <c r="A30" s="2503"/>
      <c r="B30" s="101" t="s">
        <v>831</v>
      </c>
      <c r="C30" s="28" t="str">
        <f>VLOOKUP(Q21,Q23:R24,2,FALSE)</f>
        <v>Energiestufe 3</v>
      </c>
      <c r="D30" s="28"/>
      <c r="E30" s="1576" t="s">
        <v>838</v>
      </c>
      <c r="F30" s="4046">
        <f>VLOOKUP(C30,R23:S24,2,FALSE)</f>
        <v>6.7</v>
      </c>
      <c r="G30" s="4046"/>
      <c r="H30" s="4047"/>
      <c r="I30" s="1546"/>
      <c r="J30" s="1546"/>
      <c r="K30" s="1550"/>
      <c r="L30" s="2503"/>
      <c r="Y30" s="3877"/>
    </row>
    <row r="31" spans="1:40" ht="15.6" customHeight="1" x14ac:dyDescent="0.2">
      <c r="A31" s="2503"/>
      <c r="B31" s="1559">
        <v>1</v>
      </c>
      <c r="C31" s="1564" t="s">
        <v>124</v>
      </c>
      <c r="D31" s="1564"/>
      <c r="E31" s="1564"/>
      <c r="F31" s="1675">
        <f>F30/J14</f>
        <v>2.0426829268292681</v>
      </c>
      <c r="G31" s="1676" t="s">
        <v>71</v>
      </c>
      <c r="H31" s="1546"/>
      <c r="I31" s="1546"/>
      <c r="J31" s="1546"/>
      <c r="K31" s="1569"/>
      <c r="L31" s="2503"/>
      <c r="Y31" s="3877"/>
    </row>
    <row r="32" spans="1:40" ht="21.2" customHeight="1" x14ac:dyDescent="0.2">
      <c r="A32" s="2503"/>
      <c r="B32" s="436"/>
      <c r="C32" s="259"/>
      <c r="D32" s="259"/>
      <c r="E32" s="336"/>
      <c r="F32" s="1575"/>
      <c r="G32" s="1571" t="s">
        <v>1108</v>
      </c>
      <c r="H32" s="1547" t="s">
        <v>1108</v>
      </c>
      <c r="I32" s="1547" t="s">
        <v>1108</v>
      </c>
      <c r="J32" s="1547" t="s">
        <v>1108</v>
      </c>
      <c r="K32" s="1549" t="s">
        <v>1108</v>
      </c>
      <c r="L32" s="2503"/>
      <c r="Y32" s="3877"/>
    </row>
    <row r="33" spans="1:29" ht="5.45" customHeight="1" x14ac:dyDescent="0.2">
      <c r="A33" s="2503"/>
      <c r="B33" s="37"/>
      <c r="C33" s="28"/>
      <c r="D33" s="28"/>
      <c r="E33" s="28"/>
      <c r="F33" s="487"/>
      <c r="G33" s="1570"/>
      <c r="H33" s="1546"/>
      <c r="I33" s="1546"/>
      <c r="J33" s="1546"/>
      <c r="K33" s="1550"/>
      <c r="L33" s="2503"/>
      <c r="Y33" s="3877"/>
    </row>
    <row r="34" spans="1:29" ht="16.350000000000001" customHeight="1" x14ac:dyDescent="0.2">
      <c r="A34" s="2503"/>
      <c r="B34" s="37"/>
      <c r="C34" s="28"/>
      <c r="D34" s="28"/>
      <c r="E34" s="28"/>
      <c r="F34" s="1582">
        <v>4500</v>
      </c>
      <c r="G34" s="1548">
        <f t="shared" ref="G34:J45" si="5">(($F34-G$24)*$J$14)/$F$30/100</f>
        <v>9.7910447761194046</v>
      </c>
      <c r="H34" s="1548">
        <f t="shared" si="5"/>
        <v>7.3432835820895521</v>
      </c>
      <c r="I34" s="1548">
        <f t="shared" si="5"/>
        <v>4.8955223880597023</v>
      </c>
      <c r="J34" s="1548">
        <f t="shared" si="5"/>
        <v>2.4477611940298512</v>
      </c>
      <c r="K34" s="3061">
        <f t="shared" ref="K34:K45" si="6">(($F34-K$24)*$J$14)/$F$30/100</f>
        <v>0</v>
      </c>
      <c r="L34" s="2503"/>
      <c r="Y34" s="3877"/>
    </row>
    <row r="35" spans="1:29" ht="15.6" customHeight="1" x14ac:dyDescent="0.2">
      <c r="A35" s="2503"/>
      <c r="B35" s="37"/>
      <c r="C35" s="28"/>
      <c r="D35" s="28"/>
      <c r="E35" s="28"/>
      <c r="F35" s="1582">
        <v>5000</v>
      </c>
      <c r="G35" s="1548">
        <f t="shared" si="5"/>
        <v>12.238805970149253</v>
      </c>
      <c r="H35" s="1548">
        <f t="shared" si="5"/>
        <v>9.7910447761194046</v>
      </c>
      <c r="I35" s="1548">
        <f t="shared" si="5"/>
        <v>7.3432835820895521</v>
      </c>
      <c r="J35" s="1548">
        <f t="shared" si="5"/>
        <v>4.8955223880597023</v>
      </c>
      <c r="K35" s="3061">
        <f t="shared" si="6"/>
        <v>2.4477611940298512</v>
      </c>
      <c r="L35" s="2503"/>
      <c r="Y35" s="3877"/>
    </row>
    <row r="36" spans="1:29" ht="15.6" customHeight="1" x14ac:dyDescent="0.2">
      <c r="A36" s="2503"/>
      <c r="B36" s="37"/>
      <c r="C36" s="28"/>
      <c r="D36" s="28"/>
      <c r="E36" s="28"/>
      <c r="F36" s="1582">
        <v>5500</v>
      </c>
      <c r="G36" s="1548">
        <f t="shared" si="5"/>
        <v>14.686567164179104</v>
      </c>
      <c r="H36" s="1548">
        <f t="shared" si="5"/>
        <v>12.238805970149253</v>
      </c>
      <c r="I36" s="1548">
        <f t="shared" si="5"/>
        <v>9.7910447761194046</v>
      </c>
      <c r="J36" s="1548">
        <f t="shared" si="5"/>
        <v>7.3432835820895521</v>
      </c>
      <c r="K36" s="3061">
        <f t="shared" si="6"/>
        <v>4.8955223880597023</v>
      </c>
      <c r="L36" s="2503"/>
      <c r="Y36" s="3877"/>
    </row>
    <row r="37" spans="1:29" ht="15.6" customHeight="1" x14ac:dyDescent="0.2">
      <c r="A37" s="2503"/>
      <c r="B37" s="37"/>
      <c r="C37" s="28"/>
      <c r="D37" s="28"/>
      <c r="E37" s="28"/>
      <c r="F37" s="1582">
        <v>6000</v>
      </c>
      <c r="G37" s="1548">
        <f t="shared" si="5"/>
        <v>17.134328358208954</v>
      </c>
      <c r="H37" s="1548">
        <f t="shared" si="5"/>
        <v>14.686567164179104</v>
      </c>
      <c r="I37" s="1548">
        <f t="shared" si="5"/>
        <v>12.238805970149253</v>
      </c>
      <c r="J37" s="1548">
        <f t="shared" si="5"/>
        <v>9.7910447761194046</v>
      </c>
      <c r="K37" s="3061">
        <f t="shared" si="6"/>
        <v>7.3432835820895521</v>
      </c>
      <c r="L37" s="2503"/>
      <c r="Y37" s="3877"/>
      <c r="AC37" t="s">
        <v>43</v>
      </c>
    </row>
    <row r="38" spans="1:29" ht="15.6" customHeight="1" x14ac:dyDescent="0.2">
      <c r="A38" s="2503"/>
      <c r="B38" s="1529" t="s">
        <v>706</v>
      </c>
      <c r="D38" s="28"/>
      <c r="E38" s="28"/>
      <c r="F38" s="1582">
        <v>6500</v>
      </c>
      <c r="G38" s="1548">
        <f t="shared" si="5"/>
        <v>19.582089552238809</v>
      </c>
      <c r="H38" s="1548">
        <f t="shared" si="5"/>
        <v>17.134328358208954</v>
      </c>
      <c r="I38" s="1548">
        <f t="shared" si="5"/>
        <v>14.686567164179104</v>
      </c>
      <c r="J38" s="1548">
        <f t="shared" si="5"/>
        <v>12.238805970149253</v>
      </c>
      <c r="K38" s="3061">
        <f t="shared" si="6"/>
        <v>9.7910447761194046</v>
      </c>
      <c r="L38" s="2503"/>
      <c r="Y38" s="3877"/>
    </row>
    <row r="39" spans="1:29" x14ac:dyDescent="0.2">
      <c r="A39" s="2503"/>
      <c r="B39" s="37"/>
      <c r="C39" s="28"/>
      <c r="D39" s="28"/>
      <c r="E39" s="28"/>
      <c r="F39" s="1582">
        <v>7000</v>
      </c>
      <c r="G39" s="1548">
        <f t="shared" si="5"/>
        <v>22.029850746268657</v>
      </c>
      <c r="H39" s="1548">
        <f t="shared" si="5"/>
        <v>19.582089552238809</v>
      </c>
      <c r="I39" s="1548">
        <f t="shared" si="5"/>
        <v>17.134328358208954</v>
      </c>
      <c r="J39" s="1548">
        <f t="shared" si="5"/>
        <v>14.686567164179104</v>
      </c>
      <c r="K39" s="3061">
        <f t="shared" si="6"/>
        <v>12.238805970149253</v>
      </c>
      <c r="L39" s="2503"/>
      <c r="Y39" s="3877"/>
    </row>
    <row r="40" spans="1:29" x14ac:dyDescent="0.2">
      <c r="A40" s="2503"/>
      <c r="B40" s="37"/>
      <c r="C40" s="28"/>
      <c r="D40" s="28"/>
      <c r="E40" s="28"/>
      <c r="F40" s="1582">
        <v>7500</v>
      </c>
      <c r="G40" s="1568">
        <f t="shared" si="5"/>
        <v>24.477611940298505</v>
      </c>
      <c r="H40" s="1548">
        <f t="shared" si="5"/>
        <v>22.029850746268657</v>
      </c>
      <c r="I40" s="1548">
        <f t="shared" si="5"/>
        <v>19.582089552238809</v>
      </c>
      <c r="J40" s="1548">
        <f t="shared" si="5"/>
        <v>17.134328358208954</v>
      </c>
      <c r="K40" s="3061">
        <f t="shared" si="6"/>
        <v>14.686567164179104</v>
      </c>
      <c r="L40" s="2503"/>
      <c r="Y40" s="3877"/>
    </row>
    <row r="41" spans="1:29" x14ac:dyDescent="0.2">
      <c r="A41" s="2503"/>
      <c r="B41" s="37"/>
      <c r="C41" s="28"/>
      <c r="D41" s="28"/>
      <c r="E41" s="28"/>
      <c r="F41" s="1582">
        <v>8000</v>
      </c>
      <c r="G41" s="1586">
        <f t="shared" si="5"/>
        <v>26.925373134328357</v>
      </c>
      <c r="H41" s="1568">
        <f t="shared" si="5"/>
        <v>24.477611940298505</v>
      </c>
      <c r="I41" s="1548">
        <f t="shared" si="5"/>
        <v>22.029850746268657</v>
      </c>
      <c r="J41" s="1548">
        <f t="shared" si="5"/>
        <v>19.582089552238809</v>
      </c>
      <c r="K41" s="3061">
        <f t="shared" si="6"/>
        <v>17.134328358208954</v>
      </c>
      <c r="L41" s="2503"/>
      <c r="Y41" s="3877"/>
    </row>
    <row r="42" spans="1:29" x14ac:dyDescent="0.2">
      <c r="A42" s="2503"/>
      <c r="B42" s="37"/>
      <c r="C42" s="28"/>
      <c r="D42" s="28"/>
      <c r="E42" s="28"/>
      <c r="F42" s="1582">
        <v>8500</v>
      </c>
      <c r="G42" s="1584">
        <f t="shared" si="5"/>
        <v>29.373134328358208</v>
      </c>
      <c r="H42" s="1586">
        <f t="shared" si="5"/>
        <v>26.925373134328357</v>
      </c>
      <c r="I42" s="1568">
        <f t="shared" si="5"/>
        <v>24.477611940298505</v>
      </c>
      <c r="J42" s="1548">
        <f t="shared" si="5"/>
        <v>22.029850746268657</v>
      </c>
      <c r="K42" s="3061">
        <f t="shared" si="6"/>
        <v>19.582089552238809</v>
      </c>
      <c r="L42" s="2503"/>
      <c r="Y42" s="3877"/>
    </row>
    <row r="43" spans="1:29" x14ac:dyDescent="0.2">
      <c r="A43" s="2503"/>
      <c r="B43" s="37"/>
      <c r="C43" s="28"/>
      <c r="D43" s="28"/>
      <c r="E43" s="28"/>
      <c r="F43" s="1582">
        <v>9000</v>
      </c>
      <c r="G43" s="1584">
        <f t="shared" si="5"/>
        <v>31.82089552238806</v>
      </c>
      <c r="H43" s="1584">
        <f t="shared" si="5"/>
        <v>29.373134328358208</v>
      </c>
      <c r="I43" s="1586">
        <f t="shared" si="5"/>
        <v>26.925373134328357</v>
      </c>
      <c r="J43" s="1568">
        <f t="shared" si="5"/>
        <v>24.477611940298505</v>
      </c>
      <c r="K43" s="3061">
        <f t="shared" si="6"/>
        <v>22.029850746268657</v>
      </c>
      <c r="L43" s="2503"/>
      <c r="Y43" s="3877"/>
    </row>
    <row r="44" spans="1:29" x14ac:dyDescent="0.2">
      <c r="A44" s="2503"/>
      <c r="B44" s="37"/>
      <c r="C44" s="28"/>
      <c r="D44" s="28"/>
      <c r="E44" s="28"/>
      <c r="F44" s="1582">
        <v>9500</v>
      </c>
      <c r="G44" s="1584">
        <f t="shared" si="5"/>
        <v>34.268656716417908</v>
      </c>
      <c r="H44" s="1584">
        <f t="shared" si="5"/>
        <v>31.82089552238806</v>
      </c>
      <c r="I44" s="1584">
        <f t="shared" si="5"/>
        <v>29.373134328358208</v>
      </c>
      <c r="J44" s="1586">
        <f t="shared" si="5"/>
        <v>26.925373134328357</v>
      </c>
      <c r="K44" s="3061">
        <f t="shared" si="6"/>
        <v>24.477611940298505</v>
      </c>
      <c r="L44" s="2503"/>
      <c r="Y44" s="3877"/>
    </row>
    <row r="45" spans="1:29" x14ac:dyDescent="0.2">
      <c r="A45" s="2503"/>
      <c r="B45" s="641"/>
      <c r="C45" s="16"/>
      <c r="D45" s="16"/>
      <c r="E45" s="16"/>
      <c r="F45" s="1583">
        <v>10000</v>
      </c>
      <c r="G45" s="1585">
        <f t="shared" si="5"/>
        <v>36.716417910447767</v>
      </c>
      <c r="H45" s="1585">
        <f t="shared" si="5"/>
        <v>34.268656716417908</v>
      </c>
      <c r="I45" s="1585">
        <f t="shared" si="5"/>
        <v>31.82089552238806</v>
      </c>
      <c r="J45" s="1585">
        <f t="shared" si="5"/>
        <v>29.373134328358208</v>
      </c>
      <c r="K45" s="3062">
        <f t="shared" si="6"/>
        <v>26.925373134328357</v>
      </c>
      <c r="L45" s="2503"/>
      <c r="Y45" s="3877"/>
    </row>
    <row r="46" spans="1:29" x14ac:dyDescent="0.2">
      <c r="A46" s="2503"/>
      <c r="L46" s="2503"/>
      <c r="Y46" s="3877"/>
    </row>
    <row r="47" spans="1:29" x14ac:dyDescent="0.2">
      <c r="A47" s="2503"/>
      <c r="L47" s="2503"/>
      <c r="Y47" s="3877"/>
    </row>
    <row r="48" spans="1:29" ht="15.75" x14ac:dyDescent="0.25">
      <c r="A48" s="2503"/>
      <c r="B48" s="1565" t="s">
        <v>785</v>
      </c>
      <c r="C48" s="259"/>
      <c r="D48" s="259"/>
      <c r="E48" s="1558" t="s">
        <v>813</v>
      </c>
      <c r="F48" s="2824" t="s">
        <v>441</v>
      </c>
      <c r="G48" s="259"/>
      <c r="H48" s="259"/>
      <c r="I48" s="259"/>
      <c r="J48" s="259"/>
      <c r="K48" s="336"/>
      <c r="L48" s="2503"/>
      <c r="Y48" s="3877"/>
    </row>
    <row r="49" spans="1:30" ht="20.45" customHeight="1" x14ac:dyDescent="0.2">
      <c r="A49" s="2503"/>
      <c r="B49" s="1574" t="s">
        <v>74</v>
      </c>
      <c r="C49" s="16"/>
      <c r="D49" s="16"/>
      <c r="E49" s="16"/>
      <c r="F49" s="16"/>
      <c r="G49" s="16"/>
      <c r="H49" s="16"/>
      <c r="I49" s="16"/>
      <c r="J49" s="16"/>
      <c r="K49" s="25"/>
      <c r="L49" s="2503"/>
      <c r="AA49" t="s">
        <v>1182</v>
      </c>
      <c r="AC49" s="1591">
        <f>G25+G37*100*F30</f>
        <v>36352.65</v>
      </c>
      <c r="AD49" t="s">
        <v>572</v>
      </c>
    </row>
    <row r="50" spans="1:30" ht="20.45" customHeight="1" x14ac:dyDescent="0.2">
      <c r="A50" s="2503"/>
      <c r="B50" s="37"/>
      <c r="C50" s="28"/>
      <c r="D50" s="28"/>
      <c r="E50" s="28"/>
      <c r="F50" s="28"/>
      <c r="G50" s="28"/>
      <c r="H50" s="28"/>
      <c r="I50" s="28"/>
      <c r="J50" s="28"/>
      <c r="K50" s="300"/>
      <c r="L50" s="2503"/>
      <c r="AA50" t="s">
        <v>816</v>
      </c>
      <c r="AC50">
        <v>28000</v>
      </c>
      <c r="AD50" t="s">
        <v>1183</v>
      </c>
    </row>
    <row r="51" spans="1:30" ht="17.649999999999999" customHeight="1" x14ac:dyDescent="0.2">
      <c r="A51" s="2503"/>
      <c r="B51" s="4068" t="s">
        <v>1292</v>
      </c>
      <c r="C51" s="4063"/>
      <c r="D51" s="4063"/>
      <c r="E51" s="4063"/>
      <c r="F51" s="4063"/>
      <c r="G51" s="4063"/>
      <c r="H51" s="4063"/>
      <c r="I51" s="4063"/>
      <c r="J51" s="4063"/>
      <c r="K51" s="4064"/>
      <c r="L51" s="2503"/>
    </row>
    <row r="52" spans="1:30" ht="14.25" x14ac:dyDescent="0.2">
      <c r="A52" s="2503"/>
      <c r="B52" s="1644" t="s">
        <v>1293</v>
      </c>
      <c r="C52" s="28"/>
      <c r="D52" s="28"/>
      <c r="E52" s="28"/>
      <c r="F52" s="28"/>
      <c r="G52" s="28"/>
      <c r="H52" s="28"/>
      <c r="I52" s="28"/>
      <c r="J52" s="28"/>
      <c r="K52" s="300"/>
      <c r="L52" s="2503"/>
      <c r="AC52" s="1997">
        <f>AC49/AC50</f>
        <v>1.2983089285714287</v>
      </c>
      <c r="AD52" s="554" t="s">
        <v>1184</v>
      </c>
    </row>
    <row r="53" spans="1:30" ht="6" customHeight="1" x14ac:dyDescent="0.2">
      <c r="A53" s="2503"/>
      <c r="B53" s="37"/>
      <c r="C53" s="28"/>
      <c r="D53" s="28"/>
      <c r="E53" s="28"/>
      <c r="F53" s="28"/>
      <c r="G53" s="28"/>
      <c r="H53" s="28"/>
      <c r="I53" s="28"/>
      <c r="J53" s="28"/>
      <c r="K53" s="300"/>
      <c r="L53" s="2503"/>
      <c r="AC53" s="946">
        <f>AC52*1.68</f>
        <v>2.1811590000000001</v>
      </c>
      <c r="AD53" t="s">
        <v>1185</v>
      </c>
    </row>
    <row r="54" spans="1:30" ht="4.7" customHeight="1" x14ac:dyDescent="0.2">
      <c r="A54" s="2503"/>
      <c r="C54" s="28"/>
      <c r="D54" s="28"/>
      <c r="E54" s="28"/>
      <c r="F54" s="28"/>
      <c r="G54" s="28"/>
      <c r="H54" s="28"/>
      <c r="I54" s="28"/>
      <c r="J54" s="28"/>
      <c r="K54" s="300"/>
      <c r="L54" s="2503"/>
    </row>
    <row r="55" spans="1:30" ht="2.85" customHeight="1" x14ac:dyDescent="0.2">
      <c r="A55" s="2503"/>
      <c r="B55" s="1644"/>
      <c r="C55" s="28"/>
      <c r="D55" s="28"/>
      <c r="E55" s="28"/>
      <c r="F55" s="28"/>
      <c r="G55" s="28"/>
      <c r="H55" s="28"/>
      <c r="I55" s="28"/>
      <c r="J55" s="28"/>
      <c r="K55" s="300"/>
      <c r="L55" s="2503"/>
    </row>
    <row r="56" spans="1:30" ht="5.25" customHeight="1" x14ac:dyDescent="0.2">
      <c r="A56" s="2503"/>
      <c r="B56" s="1644"/>
      <c r="C56" s="28"/>
      <c r="D56" s="28"/>
      <c r="E56" s="28"/>
      <c r="F56" s="28"/>
      <c r="G56" s="28"/>
      <c r="H56" s="28"/>
      <c r="I56" s="28"/>
      <c r="J56" s="28"/>
      <c r="K56" s="300"/>
      <c r="L56" s="2503"/>
    </row>
    <row r="57" spans="1:30" ht="21.6" customHeight="1" x14ac:dyDescent="0.2">
      <c r="A57" s="2503"/>
      <c r="B57" s="436"/>
      <c r="C57" s="259"/>
      <c r="D57" s="259"/>
      <c r="E57" s="1561"/>
      <c r="F57" s="1561"/>
      <c r="G57" s="1561" t="s">
        <v>814</v>
      </c>
      <c r="H57" s="1561"/>
      <c r="I57" s="1561"/>
      <c r="J57" s="1561"/>
      <c r="K57" s="1562"/>
      <c r="L57" s="2503"/>
      <c r="U57">
        <v>2012</v>
      </c>
      <c r="V57" t="s">
        <v>195</v>
      </c>
    </row>
    <row r="58" spans="1:30" x14ac:dyDescent="0.2">
      <c r="A58" s="2503"/>
      <c r="B58" s="37"/>
      <c r="C58" s="28"/>
      <c r="D58" s="28"/>
      <c r="E58" s="1560"/>
      <c r="F58" s="1560"/>
      <c r="G58" s="1560"/>
      <c r="H58" s="1560"/>
      <c r="I58" s="1560"/>
      <c r="J58" s="1560"/>
      <c r="K58" s="1530"/>
      <c r="L58" s="2503"/>
      <c r="U58" s="1514">
        <v>119</v>
      </c>
    </row>
    <row r="59" spans="1:30" ht="15.75" x14ac:dyDescent="0.25">
      <c r="A59" s="2503"/>
      <c r="B59" s="1647" t="s">
        <v>1095</v>
      </c>
      <c r="C59" s="28"/>
      <c r="E59" s="1560"/>
      <c r="F59" s="1566">
        <v>60</v>
      </c>
      <c r="G59" s="1566">
        <v>90</v>
      </c>
      <c r="H59" s="1566">
        <v>120</v>
      </c>
      <c r="I59" s="1566">
        <v>180</v>
      </c>
      <c r="J59" s="1566">
        <v>240</v>
      </c>
      <c r="K59" s="1567">
        <v>480</v>
      </c>
      <c r="L59" s="2503"/>
    </row>
    <row r="60" spans="1:30" ht="11.25" customHeight="1" x14ac:dyDescent="0.25">
      <c r="A60" s="2503"/>
      <c r="B60" s="1647"/>
      <c r="C60" s="28"/>
      <c r="E60" s="1560"/>
      <c r="F60" s="1566"/>
      <c r="G60" s="1566"/>
      <c r="H60" s="1566"/>
      <c r="I60" s="1566"/>
      <c r="J60" s="1566"/>
      <c r="K60" s="1567"/>
      <c r="L60" s="2503"/>
    </row>
    <row r="61" spans="1:30" ht="5.25" customHeight="1" x14ac:dyDescent="0.2">
      <c r="A61" s="2503"/>
      <c r="B61" s="37"/>
      <c r="C61" s="28"/>
      <c r="D61" s="28"/>
      <c r="E61" s="259"/>
      <c r="F61" s="2508"/>
      <c r="G61" s="2508"/>
      <c r="H61" s="2508"/>
      <c r="I61" s="2508"/>
      <c r="J61" s="2508"/>
      <c r="K61" s="336"/>
      <c r="L61" s="2503"/>
    </row>
    <row r="62" spans="1:30" x14ac:dyDescent="0.2">
      <c r="A62" s="2503"/>
      <c r="B62" s="37"/>
      <c r="C62" s="28"/>
      <c r="D62" s="3054">
        <f>G62/$G$67</f>
        <v>0.53691275167785235</v>
      </c>
      <c r="E62" s="28" t="s">
        <v>815</v>
      </c>
      <c r="F62" s="1650">
        <v>4200</v>
      </c>
      <c r="G62" s="1650">
        <v>4000</v>
      </c>
      <c r="H62" s="1650">
        <v>3800</v>
      </c>
      <c r="I62" s="1650">
        <v>3700</v>
      </c>
      <c r="J62" s="1650">
        <v>3500</v>
      </c>
      <c r="K62" s="2858">
        <v>3400</v>
      </c>
      <c r="L62" s="2503"/>
    </row>
    <row r="63" spans="1:30" x14ac:dyDescent="0.2">
      <c r="A63" s="2503"/>
      <c r="B63" s="37"/>
      <c r="C63" s="28"/>
      <c r="D63" s="3054">
        <f>G63/$G$67</f>
        <v>0.12080536912751678</v>
      </c>
      <c r="E63" s="28" t="s">
        <v>816</v>
      </c>
      <c r="F63" s="1650">
        <v>1000</v>
      </c>
      <c r="G63" s="3056">
        <v>900</v>
      </c>
      <c r="H63" s="1650">
        <v>850</v>
      </c>
      <c r="I63" s="1650">
        <v>800</v>
      </c>
      <c r="J63" s="1650">
        <v>750</v>
      </c>
      <c r="K63" s="2858">
        <v>700</v>
      </c>
      <c r="L63" s="2503"/>
    </row>
    <row r="64" spans="1:30" x14ac:dyDescent="0.2">
      <c r="A64" s="2503"/>
      <c r="B64" s="37"/>
      <c r="C64" s="28"/>
      <c r="D64" s="3054">
        <f>G64/$G$67</f>
        <v>6.0402684563758392E-2</v>
      </c>
      <c r="E64" s="28" t="s">
        <v>817</v>
      </c>
      <c r="F64" s="1650">
        <v>500</v>
      </c>
      <c r="G64" s="3056">
        <v>450</v>
      </c>
      <c r="H64" s="1650">
        <v>400</v>
      </c>
      <c r="I64" s="1650">
        <v>350</v>
      </c>
      <c r="J64" s="1650">
        <v>325</v>
      </c>
      <c r="K64" s="2858">
        <v>300</v>
      </c>
      <c r="L64" s="2503"/>
    </row>
    <row r="65" spans="1:21" x14ac:dyDescent="0.2">
      <c r="A65" s="2503"/>
      <c r="B65" s="37"/>
      <c r="C65" s="28"/>
      <c r="D65" s="3054">
        <f>G65/$G$67</f>
        <v>0.21476510067114093</v>
      </c>
      <c r="E65" s="28" t="s">
        <v>1011</v>
      </c>
      <c r="F65" s="1650">
        <v>1700</v>
      </c>
      <c r="G65" s="3056">
        <v>1600</v>
      </c>
      <c r="H65" s="1650">
        <v>1500</v>
      </c>
      <c r="I65" s="1650">
        <v>1400</v>
      </c>
      <c r="J65" s="1650">
        <v>1350</v>
      </c>
      <c r="K65" s="2858">
        <v>1300</v>
      </c>
      <c r="L65" s="2503"/>
    </row>
    <row r="66" spans="1:21" ht="27" customHeight="1" x14ac:dyDescent="0.25">
      <c r="A66" s="2503"/>
      <c r="B66" s="37"/>
      <c r="C66" s="28"/>
      <c r="D66" s="3054">
        <f>G66/$G$67</f>
        <v>6.7114093959731544E-2</v>
      </c>
      <c r="E66" s="2506" t="s">
        <v>199</v>
      </c>
      <c r="F66" s="1650">
        <v>600</v>
      </c>
      <c r="G66" s="3056">
        <v>500</v>
      </c>
      <c r="H66" s="1650">
        <v>450</v>
      </c>
      <c r="I66" s="1650">
        <v>400</v>
      </c>
      <c r="J66" s="1650">
        <v>400</v>
      </c>
      <c r="K66" s="2858">
        <v>300</v>
      </c>
      <c r="L66" s="1680" t="s">
        <v>720</v>
      </c>
    </row>
    <row r="67" spans="1:21" x14ac:dyDescent="0.2">
      <c r="A67" s="2503"/>
      <c r="B67" s="1645" t="s">
        <v>150</v>
      </c>
      <c r="C67" s="28"/>
      <c r="D67" s="3055">
        <f>SUM(D62:D66)</f>
        <v>1</v>
      </c>
      <c r="E67" s="1560" t="s">
        <v>999</v>
      </c>
      <c r="F67" s="1649">
        <f t="shared" ref="F67:K67" si="7">SUM(F62:F66)</f>
        <v>8000</v>
      </c>
      <c r="G67" s="1649">
        <f t="shared" si="7"/>
        <v>7450</v>
      </c>
      <c r="H67" s="1649">
        <f t="shared" si="7"/>
        <v>7000</v>
      </c>
      <c r="I67" s="1649">
        <f t="shared" si="7"/>
        <v>6650</v>
      </c>
      <c r="J67" s="1649">
        <f t="shared" si="7"/>
        <v>6325</v>
      </c>
      <c r="K67" s="1649">
        <f t="shared" si="7"/>
        <v>6000</v>
      </c>
      <c r="L67" s="2503"/>
    </row>
    <row r="68" spans="1:21" x14ac:dyDescent="0.2">
      <c r="A68" s="2503"/>
      <c r="B68" s="641"/>
      <c r="C68" s="16"/>
      <c r="D68" s="16"/>
      <c r="E68" s="16"/>
      <c r="F68" s="25"/>
      <c r="G68" s="3057"/>
      <c r="H68" s="3057"/>
      <c r="I68" s="3057"/>
      <c r="J68" s="3057"/>
      <c r="K68" s="3057"/>
      <c r="L68" s="2503"/>
    </row>
    <row r="69" spans="1:21" ht="8.4499999999999993" customHeight="1" x14ac:dyDescent="0.2">
      <c r="A69" s="2503"/>
      <c r="B69" s="37"/>
      <c r="C69" s="28"/>
      <c r="D69" s="28"/>
      <c r="E69" s="28"/>
      <c r="K69" s="300"/>
      <c r="L69" s="2503"/>
    </row>
    <row r="70" spans="1:21" x14ac:dyDescent="0.2">
      <c r="A70" s="2503"/>
      <c r="B70" s="37"/>
      <c r="E70" s="1640"/>
      <c r="F70" s="1643"/>
      <c r="H70" s="1643"/>
      <c r="I70" s="1643"/>
      <c r="K70" s="1642"/>
      <c r="L70" s="2503"/>
    </row>
    <row r="71" spans="1:21" ht="15.75" x14ac:dyDescent="0.2">
      <c r="A71" s="2503"/>
      <c r="B71" s="1646" t="s">
        <v>784</v>
      </c>
      <c r="C71" s="28"/>
      <c r="E71" s="1669" t="s">
        <v>108</v>
      </c>
      <c r="F71" s="1641">
        <v>60</v>
      </c>
      <c r="G71" s="1641">
        <v>90</v>
      </c>
      <c r="H71" s="1641">
        <v>120</v>
      </c>
      <c r="I71" s="1641">
        <v>180</v>
      </c>
      <c r="J71" s="1641">
        <v>240</v>
      </c>
      <c r="K71" s="1642">
        <v>480</v>
      </c>
      <c r="L71" s="2503"/>
    </row>
    <row r="72" spans="1:21" ht="3.75" customHeight="1" x14ac:dyDescent="0.2">
      <c r="A72" s="2503"/>
      <c r="B72" s="1646"/>
      <c r="C72" s="28"/>
      <c r="D72" s="16"/>
      <c r="E72" s="2509"/>
      <c r="F72" s="2512"/>
      <c r="G72" s="2512"/>
      <c r="H72" s="2512"/>
      <c r="I72" s="2512"/>
      <c r="J72" s="2512"/>
      <c r="K72" s="2512"/>
      <c r="L72" s="2503"/>
    </row>
    <row r="73" spans="1:21" ht="5.45" customHeight="1" x14ac:dyDescent="0.2">
      <c r="A73" s="2503"/>
      <c r="B73" s="1646"/>
      <c r="C73" s="28"/>
      <c r="E73" s="1669"/>
      <c r="F73" s="2513"/>
      <c r="H73" s="2513"/>
      <c r="I73" s="2513"/>
      <c r="J73" s="2513"/>
      <c r="K73" s="2513"/>
      <c r="L73" s="2503"/>
    </row>
    <row r="74" spans="1:21" ht="19.899999999999999" customHeight="1" x14ac:dyDescent="0.25">
      <c r="A74" s="2503"/>
      <c r="B74" s="1648" t="s">
        <v>177</v>
      </c>
      <c r="E74" s="1689">
        <v>4</v>
      </c>
      <c r="F74" s="2514"/>
      <c r="H74" s="2514"/>
      <c r="I74" s="2514"/>
      <c r="J74" s="2516"/>
      <c r="K74" s="2514"/>
      <c r="L74" s="2503"/>
      <c r="U74" s="3013">
        <v>1.19</v>
      </c>
    </row>
    <row r="75" spans="1:21" ht="19.899999999999999" customHeight="1" x14ac:dyDescent="0.25">
      <c r="A75" s="2503"/>
      <c r="B75" s="1648" t="s">
        <v>507</v>
      </c>
      <c r="E75" s="1689">
        <v>1.5</v>
      </c>
      <c r="F75" s="2514"/>
      <c r="H75" s="2514"/>
      <c r="I75" s="2514"/>
      <c r="J75" s="2516"/>
      <c r="K75" s="2514"/>
      <c r="L75" s="2503"/>
    </row>
    <row r="76" spans="1:21" ht="13.9" customHeight="1" x14ac:dyDescent="0.2">
      <c r="A76" s="2503"/>
      <c r="B76" s="4071" t="s">
        <v>1163</v>
      </c>
      <c r="C76" s="4072"/>
      <c r="D76" s="4072"/>
      <c r="F76" s="2514"/>
      <c r="H76" s="2514"/>
      <c r="I76" s="2514"/>
      <c r="J76" s="2516"/>
      <c r="K76" s="2514"/>
      <c r="L76" s="2503"/>
    </row>
    <row r="77" spans="1:21" ht="17.45" customHeight="1" x14ac:dyDescent="0.2">
      <c r="A77" s="2503"/>
      <c r="B77" s="4073"/>
      <c r="C77" s="4072"/>
      <c r="D77" s="4072"/>
      <c r="E77" s="1690">
        <v>50</v>
      </c>
      <c r="F77" s="2515"/>
      <c r="H77" s="2515"/>
      <c r="I77" s="2515"/>
      <c r="J77" s="2517"/>
      <c r="K77" s="2515"/>
      <c r="L77" s="2503"/>
    </row>
    <row r="78" spans="1:21" ht="21.2" customHeight="1" x14ac:dyDescent="0.2">
      <c r="A78" s="2503"/>
      <c r="B78" s="1648" t="s">
        <v>639</v>
      </c>
      <c r="C78" s="1670"/>
      <c r="D78" s="1670"/>
      <c r="E78" s="1670"/>
      <c r="F78" s="2510">
        <f t="shared" ref="F78:K78" si="8">(F59*$E$74/12*0.5+F59*$E$75/12*0.5)*(100+$E$77)/100</f>
        <v>20.625</v>
      </c>
      <c r="G78" s="2510">
        <f t="shared" si="8"/>
        <v>30.9375</v>
      </c>
      <c r="H78" s="2510">
        <f t="shared" si="8"/>
        <v>41.25</v>
      </c>
      <c r="I78" s="2510">
        <f t="shared" si="8"/>
        <v>61.875</v>
      </c>
      <c r="J78" s="2510">
        <f t="shared" si="8"/>
        <v>82.5</v>
      </c>
      <c r="K78" s="2511">
        <f t="shared" si="8"/>
        <v>165</v>
      </c>
      <c r="L78" s="2503"/>
    </row>
    <row r="79" spans="1:21" ht="15" customHeight="1" x14ac:dyDescent="0.25">
      <c r="A79" s="2503"/>
      <c r="B79" s="1664"/>
      <c r="C79" s="28"/>
      <c r="D79" s="1560"/>
      <c r="G79" s="1665"/>
      <c r="H79" s="1666"/>
      <c r="K79" s="1567"/>
      <c r="L79" s="2503"/>
    </row>
    <row r="80" spans="1:21" ht="3.6" customHeight="1" x14ac:dyDescent="0.25">
      <c r="A80" s="2503"/>
      <c r="B80" s="1664"/>
      <c r="C80" s="28"/>
      <c r="D80" s="1560"/>
      <c r="K80" s="1567"/>
      <c r="L80" s="2503"/>
    </row>
    <row r="81" spans="1:27" ht="36" customHeight="1" x14ac:dyDescent="0.2">
      <c r="A81" s="2503"/>
      <c r="B81" s="4062" t="s">
        <v>181</v>
      </c>
      <c r="C81" s="4063"/>
      <c r="D81" s="4063"/>
      <c r="E81" s="4063"/>
      <c r="F81" s="4063"/>
      <c r="G81" s="4063"/>
      <c r="H81" s="4063"/>
      <c r="I81" s="4063"/>
      <c r="J81" s="4063"/>
      <c r="K81" s="4064"/>
      <c r="L81" s="2503"/>
    </row>
    <row r="82" spans="1:27" ht="19.149999999999999" customHeight="1" x14ac:dyDescent="0.2">
      <c r="A82" s="2503"/>
      <c r="B82" s="1645" t="s">
        <v>640</v>
      </c>
      <c r="C82" s="1638"/>
      <c r="D82" s="1638"/>
      <c r="E82" s="1638"/>
      <c r="F82" s="1649">
        <v>1850</v>
      </c>
      <c r="G82" s="1649">
        <v>1750</v>
      </c>
      <c r="H82" s="1649">
        <v>1650</v>
      </c>
      <c r="I82" s="1649">
        <v>1550</v>
      </c>
      <c r="J82" s="1649">
        <v>1500</v>
      </c>
      <c r="K82" s="3058">
        <v>1400</v>
      </c>
      <c r="L82" s="2503"/>
    </row>
    <row r="83" spans="1:27" ht="21.6" customHeight="1" x14ac:dyDescent="0.2">
      <c r="A83" s="2503"/>
      <c r="B83" s="1637"/>
      <c r="C83" s="1638"/>
      <c r="D83" s="1638"/>
      <c r="E83" s="1638"/>
      <c r="K83" s="300"/>
      <c r="L83" s="2503"/>
    </row>
    <row r="84" spans="1:27" ht="7.5" customHeight="1" x14ac:dyDescent="0.2">
      <c r="A84" s="2503"/>
      <c r="B84" s="37"/>
      <c r="C84" s="28"/>
      <c r="D84" s="28"/>
      <c r="E84" s="28"/>
      <c r="J84" s="28"/>
      <c r="K84" s="300"/>
      <c r="L84" s="2503"/>
    </row>
    <row r="85" spans="1:27" ht="8.4499999999999993" customHeight="1" x14ac:dyDescent="0.2">
      <c r="A85" s="2503"/>
      <c r="B85" s="436"/>
      <c r="C85" s="259"/>
      <c r="D85" s="259"/>
      <c r="E85" s="259"/>
      <c r="F85" s="259"/>
      <c r="G85" s="259"/>
      <c r="H85" s="259"/>
      <c r="I85" s="259"/>
      <c r="J85" s="259"/>
      <c r="K85" s="336"/>
      <c r="L85" s="2503"/>
    </row>
    <row r="86" spans="1:27" x14ac:dyDescent="0.2">
      <c r="A86" s="2503"/>
      <c r="B86" s="37"/>
      <c r="C86" s="28"/>
      <c r="D86" s="1560"/>
      <c r="E86" s="28"/>
      <c r="F86" s="1560"/>
      <c r="G86" s="1560"/>
      <c r="H86" s="1560"/>
      <c r="I86" s="1560"/>
      <c r="J86" s="1639"/>
      <c r="K86" s="1567"/>
      <c r="L86" s="2503"/>
    </row>
    <row r="87" spans="1:27" ht="15.75" x14ac:dyDescent="0.2">
      <c r="A87" s="2503"/>
      <c r="B87" s="1646" t="s">
        <v>255</v>
      </c>
      <c r="C87" s="28"/>
      <c r="D87" s="1560"/>
      <c r="E87" s="28"/>
      <c r="F87" s="1560"/>
      <c r="G87" s="1560"/>
      <c r="H87" s="1560"/>
      <c r="I87" s="1560"/>
      <c r="J87" s="1639"/>
      <c r="K87" s="1567"/>
      <c r="L87" s="2503"/>
    </row>
    <row r="88" spans="1:27" x14ac:dyDescent="0.2">
      <c r="A88" s="2503"/>
      <c r="B88" s="1671" t="s">
        <v>256</v>
      </c>
      <c r="C88" s="28"/>
      <c r="D88" s="1640"/>
      <c r="E88" s="1669" t="s">
        <v>106</v>
      </c>
      <c r="F88" s="1641">
        <v>60</v>
      </c>
      <c r="G88" s="1641">
        <v>90</v>
      </c>
      <c r="H88" s="1641">
        <v>120</v>
      </c>
      <c r="I88" s="1641">
        <v>180</v>
      </c>
      <c r="J88" s="1641">
        <v>240</v>
      </c>
      <c r="K88" s="1642">
        <v>480</v>
      </c>
      <c r="L88" s="2503"/>
    </row>
    <row r="89" spans="1:27" ht="15" customHeight="1" x14ac:dyDescent="0.2">
      <c r="A89" s="2503"/>
      <c r="B89" s="37"/>
      <c r="F89" s="28"/>
      <c r="H89" s="28"/>
      <c r="I89" s="28"/>
      <c r="J89" s="28"/>
      <c r="K89" s="300"/>
      <c r="L89" s="2503"/>
    </row>
    <row r="90" spans="1:27" ht="17.45" customHeight="1" x14ac:dyDescent="0.2">
      <c r="A90" s="2503"/>
      <c r="B90" s="1673" t="s">
        <v>183</v>
      </c>
      <c r="C90" s="1691">
        <f>E74+1</f>
        <v>5</v>
      </c>
      <c r="D90" s="1674" t="s">
        <v>151</v>
      </c>
      <c r="E90" s="1692">
        <v>28</v>
      </c>
      <c r="F90" s="28"/>
      <c r="H90" s="28"/>
      <c r="I90" s="28"/>
      <c r="J90" s="28"/>
      <c r="K90" s="300"/>
      <c r="L90" s="2503"/>
      <c r="AA90" t="s">
        <v>575</v>
      </c>
    </row>
    <row r="91" spans="1:27" ht="30.6" customHeight="1" x14ac:dyDescent="0.2">
      <c r="A91" s="2503"/>
      <c r="B91" s="4069" t="s">
        <v>421</v>
      </c>
      <c r="C91" s="4070"/>
      <c r="D91" s="4070"/>
      <c r="E91" s="4070"/>
      <c r="F91" s="1651">
        <f t="shared" ref="F91:K91" si="9">((F59*0.5)*($E$90-$C$90)/12)*(100+$E$92)/100</f>
        <v>71.875</v>
      </c>
      <c r="G91" s="1651">
        <f t="shared" si="9"/>
        <v>107.8125</v>
      </c>
      <c r="H91" s="1651">
        <f t="shared" si="9"/>
        <v>143.75</v>
      </c>
      <c r="I91" s="1651">
        <f t="shared" si="9"/>
        <v>215.625</v>
      </c>
      <c r="J91" s="1651">
        <f t="shared" si="9"/>
        <v>287.5</v>
      </c>
      <c r="K91" s="1652">
        <f t="shared" si="9"/>
        <v>575</v>
      </c>
      <c r="L91" s="2503"/>
      <c r="AA91" t="s">
        <v>576</v>
      </c>
    </row>
    <row r="92" spans="1:27" ht="17.45" customHeight="1" x14ac:dyDescent="0.2">
      <c r="A92" s="2503"/>
      <c r="B92" s="37"/>
      <c r="C92" s="28"/>
      <c r="D92" s="1666" t="s">
        <v>107</v>
      </c>
      <c r="E92" s="1690">
        <v>25</v>
      </c>
      <c r="J92" s="28"/>
      <c r="K92" s="300"/>
      <c r="L92" s="2503"/>
    </row>
    <row r="93" spans="1:27" ht="30.6" customHeight="1" x14ac:dyDescent="0.2">
      <c r="A93" s="2503"/>
      <c r="B93" s="4062" t="s">
        <v>182</v>
      </c>
      <c r="C93" s="4063"/>
      <c r="D93" s="4063"/>
      <c r="E93" s="4063"/>
      <c r="F93" s="4063"/>
      <c r="G93" s="4063"/>
      <c r="H93" s="4063"/>
      <c r="I93" s="4063"/>
      <c r="J93" s="4063"/>
      <c r="K93" s="4064"/>
      <c r="L93" s="2503"/>
    </row>
    <row r="94" spans="1:27" x14ac:dyDescent="0.2">
      <c r="A94" s="2503"/>
      <c r="B94" s="37"/>
      <c r="C94" s="28"/>
      <c r="D94" s="28"/>
      <c r="E94" s="28"/>
      <c r="K94" s="300"/>
      <c r="L94" s="2503"/>
    </row>
    <row r="95" spans="1:27" ht="19.149999999999999" customHeight="1" x14ac:dyDescent="0.2">
      <c r="A95" s="2503"/>
      <c r="B95" s="1270" t="s">
        <v>910</v>
      </c>
      <c r="C95" s="20"/>
      <c r="D95" s="20"/>
      <c r="E95" s="20"/>
      <c r="F95" s="3059">
        <v>2400</v>
      </c>
      <c r="G95" s="3059">
        <v>2300</v>
      </c>
      <c r="H95" s="3059">
        <v>2150</v>
      </c>
      <c r="I95" s="3059">
        <v>2100</v>
      </c>
      <c r="J95" s="3059">
        <v>1950</v>
      </c>
      <c r="K95" s="3060">
        <v>1900</v>
      </c>
      <c r="L95" s="2503"/>
    </row>
    <row r="96" spans="1:27" x14ac:dyDescent="0.2">
      <c r="A96" s="2503"/>
      <c r="L96" s="2503"/>
    </row>
    <row r="97" spans="1:12" ht="14.45" customHeight="1" x14ac:dyDescent="0.2">
      <c r="A97" s="2503"/>
      <c r="B97" s="28"/>
      <c r="C97" s="28"/>
      <c r="D97" s="28"/>
      <c r="E97" s="28"/>
      <c r="F97" s="28"/>
      <c r="G97" s="28"/>
      <c r="H97" s="28"/>
      <c r="I97" s="28"/>
      <c r="J97" s="28"/>
      <c r="K97" s="28"/>
      <c r="L97" s="2503"/>
    </row>
    <row r="98" spans="1:12" x14ac:dyDescent="0.2">
      <c r="A98" s="2503"/>
      <c r="B98" s="16"/>
      <c r="C98" s="16"/>
      <c r="D98" s="16"/>
      <c r="E98" s="16"/>
      <c r="F98" s="16"/>
      <c r="G98" s="16"/>
      <c r="H98" s="16"/>
      <c r="I98" s="16"/>
      <c r="J98" s="16"/>
      <c r="K98" s="16"/>
      <c r="L98" s="2503"/>
    </row>
    <row r="99" spans="1:12" ht="18.75" x14ac:dyDescent="0.25">
      <c r="A99" s="2503"/>
      <c r="B99" s="1565" t="s">
        <v>804</v>
      </c>
      <c r="C99" s="259"/>
      <c r="D99" s="259"/>
      <c r="E99" s="259"/>
      <c r="F99" s="259"/>
      <c r="G99" s="259"/>
      <c r="H99" s="259"/>
      <c r="I99" s="259"/>
      <c r="J99" s="259"/>
      <c r="K99" s="336"/>
      <c r="L99" s="2503"/>
    </row>
    <row r="100" spans="1:12" x14ac:dyDescent="0.2">
      <c r="A100" s="2503"/>
      <c r="B100" s="1563" t="s">
        <v>1544</v>
      </c>
      <c r="C100" s="28"/>
      <c r="D100" s="28"/>
      <c r="E100" s="28"/>
      <c r="F100" s="28"/>
      <c r="G100" s="28"/>
      <c r="H100" s="28"/>
      <c r="I100" s="28"/>
      <c r="J100" s="28"/>
      <c r="K100" s="300"/>
      <c r="L100" s="2503"/>
    </row>
    <row r="101" spans="1:12" x14ac:dyDescent="0.2">
      <c r="A101" s="2503"/>
      <c r="B101" s="1563" t="s">
        <v>1101</v>
      </c>
      <c r="C101" s="28"/>
      <c r="D101" s="28"/>
      <c r="E101" s="28"/>
      <c r="F101" s="28"/>
      <c r="G101" s="28"/>
      <c r="H101" s="28"/>
      <c r="I101" s="28"/>
      <c r="J101" s="28"/>
      <c r="K101" s="300"/>
      <c r="L101" s="2503"/>
    </row>
    <row r="102" spans="1:12" ht="31.9" customHeight="1" x14ac:dyDescent="0.2">
      <c r="A102" s="2503"/>
      <c r="B102" s="1653" t="s">
        <v>799</v>
      </c>
      <c r="C102" s="1654"/>
      <c r="D102" s="1655" t="s">
        <v>705</v>
      </c>
      <c r="E102" s="1656">
        <v>40</v>
      </c>
      <c r="F102" s="1657">
        <v>60</v>
      </c>
      <c r="G102" s="1657">
        <v>80</v>
      </c>
      <c r="H102" s="1657">
        <v>120</v>
      </c>
      <c r="I102" s="1657">
        <v>180</v>
      </c>
      <c r="J102" s="1657">
        <v>240</v>
      </c>
      <c r="K102" s="1658">
        <v>480</v>
      </c>
      <c r="L102" s="2503"/>
    </row>
    <row r="103" spans="1:12" ht="10.15" customHeight="1" x14ac:dyDescent="0.2">
      <c r="A103" s="2503"/>
      <c r="B103" s="436"/>
      <c r="C103" s="259"/>
      <c r="D103" s="259"/>
      <c r="E103" s="1621"/>
      <c r="F103" s="1547"/>
      <c r="G103" s="1547"/>
      <c r="H103" s="1547"/>
      <c r="I103" s="1547"/>
      <c r="J103" s="1547"/>
      <c r="K103" s="1622"/>
      <c r="L103" s="2503"/>
    </row>
    <row r="104" spans="1:12" x14ac:dyDescent="0.2">
      <c r="A104" s="2503"/>
      <c r="B104" s="1623" t="s">
        <v>807</v>
      </c>
      <c r="C104" s="28"/>
      <c r="D104" s="28"/>
      <c r="E104" s="1627" t="s">
        <v>651</v>
      </c>
      <c r="F104" s="1630" t="s">
        <v>651</v>
      </c>
      <c r="G104" s="1630" t="s">
        <v>652</v>
      </c>
      <c r="H104" s="1630" t="s">
        <v>653</v>
      </c>
      <c r="I104" s="1630" t="s">
        <v>654</v>
      </c>
      <c r="J104" s="1630" t="s">
        <v>655</v>
      </c>
      <c r="K104" s="1624" t="s">
        <v>656</v>
      </c>
      <c r="L104" s="2503"/>
    </row>
    <row r="105" spans="1:12" x14ac:dyDescent="0.2">
      <c r="A105" s="2503"/>
      <c r="B105" s="1623" t="s">
        <v>643</v>
      </c>
      <c r="C105" s="28"/>
      <c r="D105" s="28"/>
      <c r="E105" s="1628">
        <v>3.4</v>
      </c>
      <c r="F105" s="1631">
        <v>3.1</v>
      </c>
      <c r="G105" s="1631">
        <v>2.6</v>
      </c>
      <c r="H105" s="1631">
        <v>2.5</v>
      </c>
      <c r="I105" s="1631">
        <v>2.4</v>
      </c>
      <c r="J105" s="1632">
        <v>1.43</v>
      </c>
      <c r="K105" s="1625">
        <v>1.41</v>
      </c>
      <c r="L105" s="2503"/>
    </row>
    <row r="106" spans="1:12" ht="32.450000000000003" customHeight="1" x14ac:dyDescent="0.2">
      <c r="A106" s="2503"/>
      <c r="B106" s="1623" t="s">
        <v>644</v>
      </c>
      <c r="C106" s="28"/>
      <c r="D106" s="28"/>
      <c r="E106" s="4051" t="s">
        <v>657</v>
      </c>
      <c r="F106" s="4052"/>
      <c r="G106" s="4053" t="s">
        <v>658</v>
      </c>
      <c r="H106" s="4054"/>
      <c r="I106" s="4054"/>
      <c r="J106" s="4054"/>
      <c r="K106" s="4055"/>
      <c r="L106" s="2503"/>
    </row>
    <row r="107" spans="1:12" ht="19.149999999999999" customHeight="1" x14ac:dyDescent="0.2">
      <c r="A107" s="2503"/>
      <c r="B107" s="1623" t="s">
        <v>645</v>
      </c>
      <c r="C107" s="28"/>
      <c r="D107" s="28"/>
      <c r="E107" s="1629" t="s">
        <v>646</v>
      </c>
      <c r="F107" s="1619"/>
      <c r="G107" s="4053" t="s">
        <v>659</v>
      </c>
      <c r="H107" s="4054"/>
      <c r="I107" s="4054"/>
      <c r="J107" s="4054"/>
      <c r="K107" s="4055"/>
      <c r="L107" s="2503"/>
    </row>
    <row r="108" spans="1:12" ht="19.149999999999999" customHeight="1" x14ac:dyDescent="0.2">
      <c r="A108" s="2503"/>
      <c r="B108" s="1623" t="s">
        <v>338</v>
      </c>
      <c r="C108" s="28"/>
      <c r="D108" s="28"/>
      <c r="E108" s="1628">
        <v>1.2</v>
      </c>
      <c r="F108" s="1631">
        <v>1.1000000000000001</v>
      </c>
      <c r="G108" s="1632">
        <v>1</v>
      </c>
      <c r="H108" s="1631">
        <v>0.8</v>
      </c>
      <c r="I108" s="1631">
        <v>0.7</v>
      </c>
      <c r="J108" s="1631">
        <v>0.7</v>
      </c>
      <c r="K108" s="1626">
        <v>0.5</v>
      </c>
      <c r="L108" s="2503"/>
    </row>
    <row r="109" spans="1:12" ht="16.149999999999999" customHeight="1" x14ac:dyDescent="0.2">
      <c r="A109" s="2503"/>
      <c r="B109" s="1623" t="s">
        <v>649</v>
      </c>
      <c r="C109" s="28"/>
      <c r="D109" s="28"/>
      <c r="E109" s="1628">
        <v>3.5</v>
      </c>
      <c r="F109" s="1631">
        <v>3.3</v>
      </c>
      <c r="G109" s="1631">
        <v>2.65</v>
      </c>
      <c r="H109" s="1631">
        <v>2.5</v>
      </c>
      <c r="I109" s="1631">
        <v>2.4</v>
      </c>
      <c r="J109" s="1631">
        <v>2.5499999999999998</v>
      </c>
      <c r="K109" s="1626">
        <v>2.5499999999999998</v>
      </c>
      <c r="L109" s="2503"/>
    </row>
    <row r="110" spans="1:12" ht="15.6" customHeight="1" x14ac:dyDescent="0.2">
      <c r="A110" s="2503"/>
      <c r="B110" s="1623" t="s">
        <v>650</v>
      </c>
      <c r="C110" s="28"/>
      <c r="D110" s="28"/>
      <c r="E110" s="1628">
        <v>0.4</v>
      </c>
      <c r="F110" s="1631">
        <v>0.38</v>
      </c>
      <c r="G110" s="1631">
        <v>0.37</v>
      </c>
      <c r="H110" s="1631">
        <v>0.36</v>
      </c>
      <c r="I110" s="1631">
        <v>0.35</v>
      </c>
      <c r="J110" s="1631">
        <v>0.35</v>
      </c>
      <c r="K110" s="1626">
        <v>0.33</v>
      </c>
      <c r="L110" s="2503"/>
    </row>
    <row r="111" spans="1:12" ht="15.6" customHeight="1" x14ac:dyDescent="0.2">
      <c r="A111" s="2503"/>
      <c r="B111" s="1623" t="s">
        <v>647</v>
      </c>
      <c r="C111" s="28"/>
      <c r="D111" s="28"/>
      <c r="E111" s="1628">
        <v>0.3</v>
      </c>
      <c r="F111" s="1633">
        <v>0.3</v>
      </c>
      <c r="G111" s="1633">
        <v>0.3</v>
      </c>
      <c r="H111" s="1633">
        <v>0.3</v>
      </c>
      <c r="I111" s="1633">
        <v>0.3</v>
      </c>
      <c r="J111" s="1633">
        <v>0.3</v>
      </c>
      <c r="K111" s="1626">
        <v>0.3</v>
      </c>
      <c r="L111" s="2503"/>
    </row>
    <row r="112" spans="1:12" ht="33.6" customHeight="1" x14ac:dyDescent="0.25">
      <c r="A112" s="2503"/>
      <c r="B112" s="1620" t="s">
        <v>648</v>
      </c>
      <c r="C112" s="611"/>
      <c r="D112" s="1655" t="s">
        <v>534</v>
      </c>
      <c r="E112" s="2938">
        <f>(E105+E108+E109+E110+E111)*365/60</f>
        <v>53.533333333333339</v>
      </c>
      <c r="F112" s="2938">
        <f t="shared" ref="F112:K112" si="10">(F105+F108+F109+F110+F111)*365/60</f>
        <v>49.761666666666663</v>
      </c>
      <c r="G112" s="2938">
        <f t="shared" si="10"/>
        <v>42.096666666666671</v>
      </c>
      <c r="H112" s="2938">
        <f t="shared" si="10"/>
        <v>39.298333333333332</v>
      </c>
      <c r="I112" s="2938">
        <f t="shared" si="10"/>
        <v>37.412500000000001</v>
      </c>
      <c r="J112" s="2938">
        <f t="shared" si="10"/>
        <v>32.424166666666657</v>
      </c>
      <c r="K112" s="2950">
        <f t="shared" si="10"/>
        <v>30.964166666666664</v>
      </c>
      <c r="L112" s="1680" t="s">
        <v>720</v>
      </c>
    </row>
    <row r="113" spans="1:12" x14ac:dyDescent="0.2">
      <c r="A113" s="2503"/>
      <c r="B113" s="1617"/>
      <c r="E113" s="1618"/>
      <c r="F113" s="1618"/>
      <c r="G113" s="1618"/>
      <c r="H113" s="1618"/>
      <c r="I113" s="1618"/>
      <c r="J113" s="1618"/>
      <c r="K113" s="1618"/>
      <c r="L113" s="2503"/>
    </row>
    <row r="114" spans="1:12" x14ac:dyDescent="0.2">
      <c r="A114" s="2503"/>
      <c r="B114" s="1617"/>
      <c r="E114" s="1618"/>
      <c r="F114" s="1618"/>
      <c r="G114" s="1618"/>
      <c r="H114" s="1618"/>
      <c r="I114" s="1618"/>
      <c r="J114" s="1618"/>
      <c r="K114" s="1618"/>
      <c r="L114" s="2503"/>
    </row>
    <row r="115" spans="1:12" x14ac:dyDescent="0.2">
      <c r="A115" s="2503"/>
      <c r="L115" s="2503"/>
    </row>
    <row r="116" spans="1:12" ht="18.75" x14ac:dyDescent="0.25">
      <c r="A116" s="2503"/>
      <c r="B116" s="1565" t="s">
        <v>805</v>
      </c>
      <c r="C116" s="259"/>
      <c r="D116" s="259"/>
      <c r="E116" s="259"/>
      <c r="F116" s="259"/>
      <c r="G116" s="259"/>
      <c r="H116" s="259"/>
      <c r="I116" s="259"/>
      <c r="J116" s="259"/>
      <c r="K116" s="336"/>
      <c r="L116" s="2503"/>
    </row>
    <row r="117" spans="1:12" x14ac:dyDescent="0.2">
      <c r="A117" s="2503"/>
      <c r="B117" s="1563" t="s">
        <v>847</v>
      </c>
      <c r="C117" s="28"/>
      <c r="D117" s="28"/>
      <c r="E117" s="28"/>
      <c r="F117" s="28"/>
      <c r="G117" s="28"/>
      <c r="H117" s="28"/>
      <c r="I117" s="28"/>
      <c r="J117" s="28"/>
      <c r="K117" s="300"/>
      <c r="L117" s="2503"/>
    </row>
    <row r="118" spans="1:12" ht="22.9" customHeight="1" x14ac:dyDescent="0.2">
      <c r="A118" s="2503"/>
      <c r="B118" s="1620" t="s">
        <v>799</v>
      </c>
      <c r="C118" s="1653"/>
      <c r="D118" s="1655" t="s">
        <v>705</v>
      </c>
      <c r="E118" s="1218"/>
      <c r="F118" s="1218"/>
      <c r="G118" s="1654"/>
      <c r="H118" s="1657">
        <v>10</v>
      </c>
      <c r="I118" s="1657">
        <v>20</v>
      </c>
      <c r="J118" s="1657">
        <v>40</v>
      </c>
      <c r="K118" s="1659">
        <v>60</v>
      </c>
      <c r="L118" s="2503"/>
    </row>
    <row r="119" spans="1:12" x14ac:dyDescent="0.2">
      <c r="A119" s="2503"/>
      <c r="B119" s="1588"/>
      <c r="C119" s="1529"/>
      <c r="D119" s="1639"/>
      <c r="G119" s="28"/>
      <c r="H119" s="1587" t="s">
        <v>1042</v>
      </c>
      <c r="I119" s="4048" t="s">
        <v>641</v>
      </c>
      <c r="J119" s="4049"/>
      <c r="K119" s="4050"/>
      <c r="L119" s="2503"/>
    </row>
    <row r="120" spans="1:12" ht="14.45" customHeight="1" x14ac:dyDescent="0.2">
      <c r="A120" s="2503"/>
      <c r="B120" s="37"/>
      <c r="C120" s="37"/>
      <c r="D120" s="1019"/>
      <c r="H120" s="4048" t="s">
        <v>636</v>
      </c>
      <c r="I120" s="4049"/>
      <c r="J120" s="4049" t="s">
        <v>642</v>
      </c>
      <c r="K120" s="4050"/>
      <c r="L120" s="2503"/>
    </row>
    <row r="121" spans="1:12" ht="13.15" customHeight="1" x14ac:dyDescent="0.2">
      <c r="A121" s="2503"/>
      <c r="B121" s="37" t="s">
        <v>802</v>
      </c>
      <c r="C121" s="37"/>
      <c r="D121" s="1019"/>
      <c r="G121" s="28"/>
      <c r="H121" s="1546">
        <v>23.3</v>
      </c>
      <c r="I121" s="1546">
        <v>14.3</v>
      </c>
      <c r="J121" s="1546">
        <v>9.3000000000000007</v>
      </c>
      <c r="K121" s="1546">
        <v>8.1999999999999993</v>
      </c>
      <c r="L121" s="2503"/>
    </row>
    <row r="122" spans="1:12" ht="13.9" customHeight="1" x14ac:dyDescent="0.2">
      <c r="A122" s="2503"/>
      <c r="B122" s="37" t="s">
        <v>801</v>
      </c>
      <c r="C122" s="37"/>
      <c r="D122" s="1019" t="s">
        <v>534</v>
      </c>
      <c r="G122" s="28"/>
      <c r="H122" s="1546">
        <v>3</v>
      </c>
      <c r="I122" s="1546">
        <v>3</v>
      </c>
      <c r="J122" s="1546">
        <v>3</v>
      </c>
      <c r="K122" s="1546">
        <v>2</v>
      </c>
      <c r="L122" s="2503"/>
    </row>
    <row r="123" spans="1:12" ht="30.2" customHeight="1" x14ac:dyDescent="0.2">
      <c r="A123" s="2503"/>
      <c r="B123" s="1217" t="s">
        <v>648</v>
      </c>
      <c r="C123" s="1660"/>
      <c r="D123" s="1661" t="s">
        <v>534</v>
      </c>
      <c r="E123" s="1218"/>
      <c r="F123" s="1218"/>
      <c r="G123" s="1662"/>
      <c r="H123" s="1634">
        <f>H121*365/60+H122</f>
        <v>144.74166666666667</v>
      </c>
      <c r="I123" s="1634">
        <f>I121*365/60+I122</f>
        <v>89.99166666666666</v>
      </c>
      <c r="J123" s="1634">
        <f>J121*365/60+J122</f>
        <v>59.57500000000001</v>
      </c>
      <c r="K123" s="1663">
        <f>K121*365/60+K122</f>
        <v>51.883333333333326</v>
      </c>
      <c r="L123" s="2503"/>
    </row>
    <row r="124" spans="1:12" ht="8.1" customHeight="1" x14ac:dyDescent="0.2">
      <c r="A124" s="2503"/>
      <c r="L124" s="2503"/>
    </row>
    <row r="125" spans="1:12" ht="27" customHeight="1" x14ac:dyDescent="0.2">
      <c r="A125" s="2503"/>
      <c r="B125" s="4044" t="s">
        <v>806</v>
      </c>
      <c r="C125" s="4045"/>
      <c r="D125" s="4045"/>
      <c r="E125" s="4045"/>
      <c r="F125" s="4045"/>
      <c r="G125" s="4045"/>
      <c r="H125" s="4045"/>
      <c r="I125" s="4045"/>
      <c r="J125" s="4045"/>
      <c r="K125" s="4045"/>
      <c r="L125" s="2503"/>
    </row>
    <row r="126" spans="1:12" x14ac:dyDescent="0.2">
      <c r="A126" s="2503"/>
      <c r="L126" s="2503"/>
    </row>
    <row r="127" spans="1:12" x14ac:dyDescent="0.2">
      <c r="A127" s="2503"/>
      <c r="L127" s="2503"/>
    </row>
    <row r="128" spans="1:12" x14ac:dyDescent="0.2">
      <c r="A128" s="2503"/>
      <c r="L128" s="2503"/>
    </row>
    <row r="129" spans="1:12" x14ac:dyDescent="0.2">
      <c r="A129" s="2503"/>
      <c r="L129" s="2503"/>
    </row>
    <row r="130" spans="1:12" x14ac:dyDescent="0.2">
      <c r="A130" s="2503"/>
      <c r="L130" s="2503"/>
    </row>
    <row r="131" spans="1:12" x14ac:dyDescent="0.2">
      <c r="A131" s="2503"/>
      <c r="L131" s="2503"/>
    </row>
    <row r="132" spans="1:12" x14ac:dyDescent="0.2">
      <c r="A132" s="2503"/>
      <c r="L132" s="2503"/>
    </row>
    <row r="133" spans="1:12" x14ac:dyDescent="0.2">
      <c r="A133" s="2503"/>
      <c r="L133" s="2503"/>
    </row>
    <row r="134" spans="1:12" x14ac:dyDescent="0.2">
      <c r="A134" s="2503"/>
      <c r="L134" s="2503"/>
    </row>
    <row r="135" spans="1:12" x14ac:dyDescent="0.2">
      <c r="A135" s="2503"/>
      <c r="L135" s="2503"/>
    </row>
    <row r="136" spans="1:12" x14ac:dyDescent="0.2">
      <c r="A136" s="2503"/>
      <c r="L136" s="2503"/>
    </row>
    <row r="137" spans="1:12" x14ac:dyDescent="0.2">
      <c r="A137" s="2503"/>
      <c r="L137" s="2503"/>
    </row>
    <row r="138" spans="1:12" x14ac:dyDescent="0.2">
      <c r="A138" s="2503"/>
      <c r="L138" s="2503"/>
    </row>
    <row r="139" spans="1:12" x14ac:dyDescent="0.2">
      <c r="A139" s="2503"/>
      <c r="L139" s="2503"/>
    </row>
    <row r="140" spans="1:12" x14ac:dyDescent="0.2">
      <c r="A140" s="2503"/>
      <c r="L140" s="2503"/>
    </row>
    <row r="141" spans="1:12" x14ac:dyDescent="0.2">
      <c r="A141" s="2503"/>
      <c r="L141" s="2503"/>
    </row>
    <row r="142" spans="1:12" x14ac:dyDescent="0.2">
      <c r="A142" s="2503"/>
      <c r="L142" s="2503"/>
    </row>
    <row r="143" spans="1:12" x14ac:dyDescent="0.2">
      <c r="A143" s="2503"/>
      <c r="L143" s="2503"/>
    </row>
    <row r="144" spans="1:12" x14ac:dyDescent="0.2">
      <c r="A144" s="2503"/>
      <c r="B144" s="2503"/>
      <c r="C144" s="2503"/>
      <c r="D144" s="2503"/>
      <c r="E144" s="2503"/>
      <c r="F144" s="2503"/>
      <c r="G144" s="2503"/>
      <c r="H144" s="2503"/>
      <c r="I144" s="2503"/>
      <c r="J144" s="2503"/>
      <c r="K144" s="2503"/>
      <c r="L144" s="2503"/>
    </row>
    <row r="146" spans="2:23" ht="13.5" thickBot="1" x14ac:dyDescent="0.25"/>
    <row r="147" spans="2:23" x14ac:dyDescent="0.2">
      <c r="B147" t="s">
        <v>1543</v>
      </c>
      <c r="M147" s="2929"/>
      <c r="N147" s="2930"/>
      <c r="O147" s="2930" t="s">
        <v>1174</v>
      </c>
      <c r="P147" s="2930"/>
      <c r="Q147" s="2931">
        <v>500</v>
      </c>
      <c r="R147" s="2930" t="s">
        <v>1173</v>
      </c>
      <c r="S147" s="2930"/>
      <c r="T147" s="2932"/>
    </row>
    <row r="148" spans="2:23" x14ac:dyDescent="0.2">
      <c r="G148" t="s">
        <v>1169</v>
      </c>
      <c r="K148" t="s">
        <v>1170</v>
      </c>
      <c r="M148" s="1406"/>
      <c r="N148" s="28"/>
      <c r="O148" s="2933">
        <v>12</v>
      </c>
      <c r="P148" s="28" t="s">
        <v>469</v>
      </c>
      <c r="Q148" s="2933">
        <v>700</v>
      </c>
      <c r="R148" s="28" t="s">
        <v>857</v>
      </c>
      <c r="T148" s="1449"/>
    </row>
    <row r="149" spans="2:23" x14ac:dyDescent="0.2">
      <c r="G149" t="s">
        <v>1171</v>
      </c>
      <c r="K149" t="s">
        <v>1171</v>
      </c>
      <c r="M149" s="1406" t="s">
        <v>1172</v>
      </c>
      <c r="N149" s="28"/>
      <c r="O149" s="2933">
        <v>40</v>
      </c>
      <c r="P149" s="28" t="s">
        <v>1175</v>
      </c>
      <c r="Q149" s="28">
        <f>Q148/Q147</f>
        <v>1.4</v>
      </c>
      <c r="R149" t="s">
        <v>1176</v>
      </c>
      <c r="S149" s="28"/>
      <c r="T149" s="1449"/>
    </row>
    <row r="150" spans="2:23" x14ac:dyDescent="0.2">
      <c r="B150" t="s">
        <v>315</v>
      </c>
      <c r="D150">
        <v>64</v>
      </c>
      <c r="E150" s="1516">
        <v>526652</v>
      </c>
      <c r="G150" s="1516">
        <f>E150/D150</f>
        <v>8228.9375</v>
      </c>
      <c r="K150" s="1516">
        <f>G150+G150*0.1</f>
        <v>9051.8312499999993</v>
      </c>
      <c r="M150" s="2934">
        <f t="shared" ref="M150:M155" si="11">K150+$O$148*$Q$149*$O$149</f>
        <v>9723.8312499999993</v>
      </c>
      <c r="N150" s="28"/>
      <c r="O150" s="28">
        <f>O148*O149</f>
        <v>480</v>
      </c>
      <c r="P150" s="28"/>
      <c r="Q150" s="28"/>
      <c r="R150" s="28"/>
      <c r="S150" s="28"/>
      <c r="T150" s="1449"/>
      <c r="V150" s="1516">
        <v>388700</v>
      </c>
      <c r="W150" s="3012">
        <f t="shared" ref="W150:W155" si="12">(E150-V150)/V150</f>
        <v>0.35490609724723438</v>
      </c>
    </row>
    <row r="151" spans="2:23" x14ac:dyDescent="0.2">
      <c r="B151" t="s">
        <v>314</v>
      </c>
      <c r="D151">
        <v>120</v>
      </c>
      <c r="E151" s="1516">
        <v>653235</v>
      </c>
      <c r="G151" s="1516">
        <f t="shared" ref="G151:G168" si="13">E151/D151</f>
        <v>5443.625</v>
      </c>
      <c r="K151" s="1516">
        <f t="shared" ref="K151:K168" si="14">G151+G151*0.1</f>
        <v>5987.9875000000002</v>
      </c>
      <c r="M151" s="2934">
        <f t="shared" si="11"/>
        <v>6659.9875000000002</v>
      </c>
      <c r="N151" s="28"/>
      <c r="O151" s="28"/>
      <c r="P151" s="28"/>
      <c r="Q151" s="28"/>
      <c r="R151" s="28"/>
      <c r="S151" s="28"/>
      <c r="T151" s="1449"/>
      <c r="V151" s="1516">
        <v>482125</v>
      </c>
      <c r="W151" s="3012">
        <f t="shared" si="12"/>
        <v>0.35490795955405757</v>
      </c>
    </row>
    <row r="152" spans="2:23" x14ac:dyDescent="0.2">
      <c r="B152" t="s">
        <v>314</v>
      </c>
      <c r="D152">
        <v>188</v>
      </c>
      <c r="E152" s="1516">
        <v>863404</v>
      </c>
      <c r="G152" s="1516">
        <f t="shared" si="13"/>
        <v>4592.5744680851067</v>
      </c>
      <c r="K152" s="1516">
        <f t="shared" si="14"/>
        <v>5051.8319148936171</v>
      </c>
      <c r="M152" s="2934">
        <f t="shared" si="11"/>
        <v>5723.8319148936171</v>
      </c>
      <c r="N152" s="28"/>
      <c r="O152" s="28"/>
      <c r="P152" s="28"/>
      <c r="Q152" s="28"/>
      <c r="R152" s="28"/>
      <c r="S152" s="28"/>
      <c r="T152" s="1449"/>
      <c r="V152" s="1516">
        <v>759408</v>
      </c>
      <c r="W152" s="3012">
        <f t="shared" si="12"/>
        <v>0.13694351389503404</v>
      </c>
    </row>
    <row r="153" spans="2:23" x14ac:dyDescent="0.2">
      <c r="B153" t="s">
        <v>314</v>
      </c>
      <c r="D153">
        <v>246</v>
      </c>
      <c r="E153" s="1516">
        <v>1227328</v>
      </c>
      <c r="G153" s="1516">
        <f t="shared" si="13"/>
        <v>4989.1382113821137</v>
      </c>
      <c r="K153" s="1516">
        <f t="shared" si="14"/>
        <v>5488.0520325203252</v>
      </c>
      <c r="M153" s="2934">
        <f t="shared" si="11"/>
        <v>6160.0520325203252</v>
      </c>
      <c r="N153" s="28"/>
      <c r="O153" s="28"/>
      <c r="P153" s="28"/>
      <c r="Q153" s="28"/>
      <c r="R153" s="28"/>
      <c r="S153" s="28"/>
      <c r="T153" s="1449"/>
      <c r="V153" s="1516">
        <v>905840</v>
      </c>
      <c r="W153" s="3012">
        <f t="shared" si="12"/>
        <v>0.3549059436545085</v>
      </c>
    </row>
    <row r="154" spans="2:23" x14ac:dyDescent="0.2">
      <c r="B154" t="s">
        <v>313</v>
      </c>
      <c r="D154">
        <v>350</v>
      </c>
      <c r="E154" s="1516">
        <v>1413826</v>
      </c>
      <c r="G154" s="1516">
        <f t="shared" si="13"/>
        <v>4039.502857142857</v>
      </c>
      <c r="K154" s="1516">
        <f t="shared" si="14"/>
        <v>4443.4531428571427</v>
      </c>
      <c r="M154" s="2934">
        <f t="shared" si="11"/>
        <v>5115.4531428571427</v>
      </c>
      <c r="N154" s="28"/>
      <c r="O154" s="28"/>
      <c r="P154" s="28"/>
      <c r="Q154" s="28"/>
      <c r="R154" s="28"/>
      <c r="S154" s="28"/>
      <c r="T154" s="1449"/>
      <c r="V154" s="1516">
        <v>1043486</v>
      </c>
      <c r="W154" s="3012">
        <f t="shared" si="12"/>
        <v>0.35490653444320286</v>
      </c>
    </row>
    <row r="155" spans="2:23" x14ac:dyDescent="0.2">
      <c r="B155" s="3011" t="s">
        <v>312</v>
      </c>
      <c r="C155" s="2927"/>
      <c r="D155" s="2927">
        <v>492</v>
      </c>
      <c r="E155" s="2928">
        <v>2303797</v>
      </c>
      <c r="F155" s="2927"/>
      <c r="G155" s="2928">
        <f t="shared" si="13"/>
        <v>4682.5142276422766</v>
      </c>
      <c r="K155" s="1516">
        <f t="shared" si="14"/>
        <v>5150.7656504065044</v>
      </c>
      <c r="M155" s="2934">
        <f t="shared" si="11"/>
        <v>5822.7656504065044</v>
      </c>
      <c r="N155" s="28"/>
      <c r="O155" s="28"/>
      <c r="P155" s="28"/>
      <c r="Q155" s="28"/>
      <c r="R155" s="28"/>
      <c r="S155" s="28"/>
      <c r="T155" s="1449"/>
      <c r="V155" s="2928">
        <v>1700337</v>
      </c>
      <c r="W155" s="3012">
        <f t="shared" si="12"/>
        <v>0.35490611567001129</v>
      </c>
    </row>
    <row r="156" spans="2:23" x14ac:dyDescent="0.2">
      <c r="G156" s="1516"/>
      <c r="K156" s="1516"/>
      <c r="M156" s="2934"/>
      <c r="N156" s="28"/>
      <c r="O156" s="28"/>
      <c r="P156" s="28"/>
      <c r="Q156" s="28"/>
      <c r="R156" s="28"/>
      <c r="S156" s="28"/>
      <c r="T156" s="1449"/>
    </row>
    <row r="157" spans="2:23" x14ac:dyDescent="0.2">
      <c r="B157" t="s">
        <v>1166</v>
      </c>
      <c r="D157">
        <v>64</v>
      </c>
      <c r="E157" s="1516">
        <v>498058</v>
      </c>
      <c r="G157" s="1516">
        <f t="shared" si="13"/>
        <v>7782.15625</v>
      </c>
      <c r="K157" s="1516">
        <f t="shared" si="14"/>
        <v>8560.3718750000007</v>
      </c>
      <c r="M157" s="2934">
        <f>K157+$O$148*$Q$149*$O$149</f>
        <v>9232.3718750000007</v>
      </c>
      <c r="N157" s="28"/>
      <c r="O157" s="28"/>
      <c r="P157" s="28"/>
      <c r="Q157" s="28"/>
      <c r="R157" s="28"/>
      <c r="S157" s="28"/>
      <c r="T157" s="1449"/>
    </row>
    <row r="158" spans="2:23" x14ac:dyDescent="0.2">
      <c r="B158" t="s">
        <v>1166</v>
      </c>
      <c r="D158">
        <v>120</v>
      </c>
      <c r="E158" s="1516">
        <v>616031</v>
      </c>
      <c r="G158" s="1516">
        <f t="shared" si="13"/>
        <v>5133.5916666666662</v>
      </c>
      <c r="K158" s="1516">
        <f t="shared" si="14"/>
        <v>5646.9508333333324</v>
      </c>
      <c r="M158" s="2934">
        <f>K158+$O$148*$Q$149*$O$149</f>
        <v>6318.9508333333324</v>
      </c>
      <c r="N158" s="28"/>
      <c r="O158" s="28"/>
      <c r="P158" s="28"/>
      <c r="Q158" s="28"/>
      <c r="R158" s="28"/>
      <c r="S158" s="28"/>
      <c r="T158" s="1449"/>
    </row>
    <row r="159" spans="2:23" x14ac:dyDescent="0.2">
      <c r="B159" t="s">
        <v>1166</v>
      </c>
      <c r="D159">
        <v>188</v>
      </c>
      <c r="E159" s="1516">
        <v>956657</v>
      </c>
      <c r="G159" s="1516">
        <f t="shared" si="13"/>
        <v>5088.6010638297876</v>
      </c>
      <c r="K159" s="1516">
        <f t="shared" si="14"/>
        <v>5597.4611702127659</v>
      </c>
      <c r="M159" s="2934">
        <f>K159+$O$148*$Q$149*$O$149</f>
        <v>6269.4611702127659</v>
      </c>
      <c r="N159" s="28"/>
      <c r="O159" s="28"/>
      <c r="P159" s="28"/>
      <c r="Q159" s="28"/>
      <c r="R159" s="28"/>
      <c r="S159" s="28"/>
      <c r="T159" s="1449"/>
    </row>
    <row r="160" spans="2:23" x14ac:dyDescent="0.2">
      <c r="B160" t="s">
        <v>1166</v>
      </c>
      <c r="D160">
        <v>350</v>
      </c>
      <c r="E160" s="1516">
        <v>1292931</v>
      </c>
      <c r="G160" s="1516">
        <f t="shared" si="13"/>
        <v>3694.0885714285714</v>
      </c>
      <c r="K160" s="1516">
        <f t="shared" si="14"/>
        <v>4063.4974285714288</v>
      </c>
      <c r="M160" s="2934">
        <f>K160+$O$148*$Q$149*$O$149</f>
        <v>4735.4974285714288</v>
      </c>
      <c r="N160" s="28"/>
      <c r="O160" s="28"/>
      <c r="P160" s="28"/>
      <c r="Q160" s="28"/>
      <c r="R160" s="28"/>
      <c r="S160" s="28"/>
      <c r="T160" s="1449"/>
    </row>
    <row r="161" spans="2:20" x14ac:dyDescent="0.2">
      <c r="G161" s="1516"/>
      <c r="K161" s="1516"/>
      <c r="M161" s="2934"/>
      <c r="N161" s="28"/>
      <c r="O161" s="28"/>
      <c r="P161" s="28"/>
      <c r="Q161" s="28"/>
      <c r="R161" s="28"/>
      <c r="S161" s="28"/>
      <c r="T161" s="1449"/>
    </row>
    <row r="162" spans="2:20" x14ac:dyDescent="0.2">
      <c r="B162" t="s">
        <v>1167</v>
      </c>
      <c r="D162">
        <v>64</v>
      </c>
      <c r="E162" s="1516">
        <v>479004</v>
      </c>
      <c r="G162" s="1516">
        <f t="shared" si="13"/>
        <v>7484.4375</v>
      </c>
      <c r="K162" s="1516">
        <f t="shared" si="14"/>
        <v>8232.8812500000004</v>
      </c>
      <c r="M162" s="2934">
        <f>K162+$O$148*$Q$149*$O$149</f>
        <v>8904.8812500000004</v>
      </c>
      <c r="N162" s="28"/>
      <c r="O162" s="28"/>
      <c r="P162" s="28"/>
      <c r="Q162" s="28"/>
      <c r="R162" s="28"/>
      <c r="S162" s="28"/>
      <c r="T162" s="1449"/>
    </row>
    <row r="163" spans="2:20" x14ac:dyDescent="0.2">
      <c r="B163" t="s">
        <v>1167</v>
      </c>
      <c r="D163">
        <v>126</v>
      </c>
      <c r="E163" s="1516">
        <v>607469</v>
      </c>
      <c r="G163" s="1516">
        <f t="shared" si="13"/>
        <v>4821.1825396825398</v>
      </c>
      <c r="K163" s="1516">
        <f t="shared" si="14"/>
        <v>5303.3007936507938</v>
      </c>
      <c r="M163" s="2934">
        <f>K163+$O$148*$Q$149*$O$149</f>
        <v>5975.3007936507938</v>
      </c>
      <c r="N163" s="28"/>
      <c r="O163" s="28"/>
      <c r="P163" s="28"/>
      <c r="Q163" s="28"/>
      <c r="R163" s="28"/>
      <c r="S163" s="28"/>
      <c r="T163" s="1449"/>
    </row>
    <row r="164" spans="2:20" x14ac:dyDescent="0.2">
      <c r="B164" t="s">
        <v>1167</v>
      </c>
      <c r="D164">
        <v>188</v>
      </c>
      <c r="E164" s="1516">
        <v>902678</v>
      </c>
      <c r="G164" s="1516">
        <f t="shared" si="13"/>
        <v>4801.4787234042551</v>
      </c>
      <c r="K164" s="1516">
        <f t="shared" si="14"/>
        <v>5281.6265957446803</v>
      </c>
      <c r="M164" s="2934">
        <f>K164+$O$148*$Q$149*$O$149</f>
        <v>5953.6265957446803</v>
      </c>
      <c r="N164" s="28"/>
      <c r="O164" s="28"/>
      <c r="P164" s="28"/>
      <c r="Q164" s="28"/>
      <c r="R164" s="28"/>
      <c r="S164" s="28"/>
      <c r="T164" s="1449"/>
    </row>
    <row r="165" spans="2:20" x14ac:dyDescent="0.2">
      <c r="G165" s="1516"/>
      <c r="K165" s="1516"/>
      <c r="M165" s="2934"/>
      <c r="N165" s="28"/>
      <c r="O165" s="28"/>
      <c r="P165" s="28"/>
      <c r="Q165" s="28"/>
      <c r="R165" s="28"/>
      <c r="S165" s="28"/>
      <c r="T165" s="1449"/>
    </row>
    <row r="166" spans="2:20" x14ac:dyDescent="0.2">
      <c r="B166" t="s">
        <v>1168</v>
      </c>
      <c r="D166">
        <v>64</v>
      </c>
      <c r="E166" s="1516">
        <v>480086</v>
      </c>
      <c r="G166" s="1516">
        <f t="shared" si="13"/>
        <v>7501.34375</v>
      </c>
      <c r="K166" s="1516">
        <f t="shared" si="14"/>
        <v>8251.4781249999996</v>
      </c>
      <c r="M166" s="2934">
        <f>K166+$O$148*$Q$149*$O$149</f>
        <v>8923.4781249999996</v>
      </c>
      <c r="N166" s="28"/>
      <c r="O166" s="28"/>
      <c r="P166" s="28"/>
      <c r="Q166" s="28"/>
      <c r="R166" s="28"/>
      <c r="S166" s="28"/>
      <c r="T166" s="1449"/>
    </row>
    <row r="167" spans="2:20" x14ac:dyDescent="0.2">
      <c r="B167" t="s">
        <v>1168</v>
      </c>
      <c r="D167">
        <v>126</v>
      </c>
      <c r="E167" s="1516">
        <v>593949</v>
      </c>
      <c r="G167" s="1516">
        <f t="shared" si="13"/>
        <v>4713.8809523809523</v>
      </c>
      <c r="K167" s="1516">
        <f t="shared" si="14"/>
        <v>5185.2690476190473</v>
      </c>
      <c r="M167" s="2934">
        <f>K167+$O$148*$Q$149*$O$149</f>
        <v>5857.2690476190473</v>
      </c>
      <c r="N167" s="28"/>
      <c r="O167" s="28"/>
      <c r="P167" s="28"/>
      <c r="Q167" s="28"/>
      <c r="R167" s="28"/>
      <c r="S167" s="28"/>
      <c r="T167" s="1449"/>
    </row>
    <row r="168" spans="2:20" ht="13.5" thickBot="1" x14ac:dyDescent="0.25">
      <c r="B168" t="s">
        <v>1168</v>
      </c>
      <c r="D168">
        <v>188</v>
      </c>
      <c r="E168" s="1516">
        <v>883930</v>
      </c>
      <c r="G168" s="1516">
        <f t="shared" si="13"/>
        <v>4701.755319148936</v>
      </c>
      <c r="K168" s="1516">
        <f t="shared" si="14"/>
        <v>5171.9308510638293</v>
      </c>
      <c r="M168" s="2935">
        <f>K168+$O$148*$Q$149*$O$149</f>
        <v>5843.9308510638293</v>
      </c>
      <c r="N168" s="2936"/>
      <c r="O168" s="2936"/>
      <c r="P168" s="2936"/>
      <c r="Q168" s="2936"/>
      <c r="R168" s="2936"/>
      <c r="S168" s="2936"/>
      <c r="T168" s="2937"/>
    </row>
    <row r="172" spans="2:20" x14ac:dyDescent="0.2">
      <c r="B172" t="s">
        <v>1265</v>
      </c>
    </row>
    <row r="173" spans="2:20" x14ac:dyDescent="0.2">
      <c r="B173" s="3918" t="s">
        <v>1592</v>
      </c>
      <c r="C173" s="3918"/>
      <c r="D173" s="3918"/>
      <c r="E173" s="3921" t="s">
        <v>1596</v>
      </c>
      <c r="F173" s="3918"/>
      <c r="G173" s="3918" t="s">
        <v>1593</v>
      </c>
      <c r="H173" s="3919" t="s">
        <v>1594</v>
      </c>
    </row>
    <row r="174" spans="2:20" s="3916" customFormat="1" x14ac:dyDescent="0.2">
      <c r="B174" s="3918"/>
      <c r="C174" s="3918"/>
      <c r="D174" s="3918"/>
      <c r="E174" s="3922" t="s">
        <v>1079</v>
      </c>
      <c r="F174" s="3918"/>
      <c r="G174" s="3921" t="s">
        <v>1595</v>
      </c>
      <c r="H174" s="3921" t="s">
        <v>1595</v>
      </c>
    </row>
    <row r="175" spans="2:20" x14ac:dyDescent="0.2">
      <c r="B175" s="3918" t="s">
        <v>1591</v>
      </c>
      <c r="C175" s="3918"/>
      <c r="D175" s="3918">
        <v>58</v>
      </c>
      <c r="E175" s="3920">
        <v>206572</v>
      </c>
      <c r="F175" s="3918"/>
      <c r="G175" s="3920">
        <v>3562</v>
      </c>
      <c r="H175" s="3923">
        <v>2985</v>
      </c>
    </row>
    <row r="176" spans="2:20" x14ac:dyDescent="0.2">
      <c r="B176" s="3918" t="s">
        <v>1591</v>
      </c>
      <c r="C176" s="3918"/>
      <c r="D176" s="3918">
        <v>87</v>
      </c>
      <c r="E176" s="3920">
        <v>280034</v>
      </c>
      <c r="F176" s="3918"/>
      <c r="G176" s="3920">
        <v>3219</v>
      </c>
      <c r="H176" s="3923">
        <v>2697</v>
      </c>
    </row>
    <row r="177" spans="2:8" x14ac:dyDescent="0.2">
      <c r="B177" s="3918" t="s">
        <v>1591</v>
      </c>
      <c r="C177" s="3918"/>
      <c r="D177" s="3918">
        <v>132</v>
      </c>
      <c r="E177" s="3920">
        <v>413372</v>
      </c>
      <c r="F177" s="3918"/>
      <c r="G177" s="3920">
        <v>3132</v>
      </c>
      <c r="H177" s="3923">
        <v>2625</v>
      </c>
    </row>
  </sheetData>
  <mergeCells count="15">
    <mergeCell ref="B22:K23"/>
    <mergeCell ref="B93:K93"/>
    <mergeCell ref="B27:K27"/>
    <mergeCell ref="B51:K51"/>
    <mergeCell ref="B81:K81"/>
    <mergeCell ref="B91:E91"/>
    <mergeCell ref="B76:D77"/>
    <mergeCell ref="B125:K125"/>
    <mergeCell ref="F30:H30"/>
    <mergeCell ref="H120:I120"/>
    <mergeCell ref="I119:K119"/>
    <mergeCell ref="J120:K120"/>
    <mergeCell ref="E106:F106"/>
    <mergeCell ref="G106:K106"/>
    <mergeCell ref="G107:K107"/>
  </mergeCells>
  <phoneticPr fontId="0" type="noConversion"/>
  <hyperlinks>
    <hyperlink ref="J1" location="Kalkulationshilfen!B110" display="Akh-Bedarf"/>
    <hyperlink ref="H1" location="B70" display="Baukosten"/>
    <hyperlink ref="F1" location="B27" display="Futterbedarf"/>
    <hyperlink ref="L25" location="Kalkulationshilfen!A1" display="G"/>
    <hyperlink ref="L66" location="Kalkulationshilfen!A1" display="G"/>
    <hyperlink ref="L112" location="Kalkulationshilfen!A1" display="G"/>
    <hyperlink ref="F48" r:id="rId1"/>
  </hyperlinks>
  <printOptions horizontalCentered="1"/>
  <pageMargins left="0.59055118110236227" right="0.78740157480314965" top="0.98425196850393704" bottom="0.98425196850393704" header="0.51181102362204722" footer="0.51181102362204722"/>
  <pageSetup paperSize="9" scale="95" firstPageNumber="49" orientation="portrait" blackAndWhite="1" useFirstPageNumber="1" r:id="rId2"/>
  <headerFooter alignWithMargins="0">
    <oddFooter>&amp;LLEL Schwäbisch Gmünd,
&amp;D&amp;C&amp;"Arial,Fett"&amp;12&amp;P&amp;RKalkulationsdaten Milchviehhaltung;
&amp;F  &amp;A</oddFooter>
  </headerFooter>
  <rowBreaks count="2" manualBreakCount="2">
    <brk id="47" min="1" max="10" man="1"/>
    <brk id="95" min="1" max="10" man="1"/>
  </rowBreaks>
  <drawing r:id="rId3"/>
  <legacyDrawing r:id="rId4"/>
  <mc:AlternateContent xmlns:mc="http://schemas.openxmlformats.org/markup-compatibility/2006">
    <mc:Choice Requires="x14">
      <controls>
        <mc:AlternateContent xmlns:mc="http://schemas.openxmlformats.org/markup-compatibility/2006">
          <mc:Choice Requires="x14">
            <control shapeId="93185" r:id="rId5" name="Spinner 1">
              <controlPr defaultSize="0" autoPict="0">
                <anchor moveWithCells="1" sizeWithCells="1">
                  <from>
                    <xdr:col>5</xdr:col>
                    <xdr:colOff>133350</xdr:colOff>
                    <xdr:row>7</xdr:row>
                    <xdr:rowOff>28575</xdr:rowOff>
                  </from>
                  <to>
                    <xdr:col>5</xdr:col>
                    <xdr:colOff>666750</xdr:colOff>
                    <xdr:row>8</xdr:row>
                    <xdr:rowOff>9525</xdr:rowOff>
                  </to>
                </anchor>
              </controlPr>
            </control>
          </mc:Choice>
        </mc:AlternateContent>
        <mc:AlternateContent xmlns:mc="http://schemas.openxmlformats.org/markup-compatibility/2006">
          <mc:Choice Requires="x14">
            <control shapeId="93198" r:id="rId6" name="Spinner 14">
              <controlPr defaultSize="0" autoPict="0">
                <anchor moveWithCells="1" sizeWithCells="1">
                  <from>
                    <xdr:col>5</xdr:col>
                    <xdr:colOff>161925</xdr:colOff>
                    <xdr:row>13</xdr:row>
                    <xdr:rowOff>0</xdr:rowOff>
                  </from>
                  <to>
                    <xdr:col>5</xdr:col>
                    <xdr:colOff>647700</xdr:colOff>
                    <xdr:row>14</xdr:row>
                    <xdr:rowOff>9525</xdr:rowOff>
                  </to>
                </anchor>
              </controlPr>
            </control>
          </mc:Choice>
        </mc:AlternateContent>
        <mc:AlternateContent xmlns:mc="http://schemas.openxmlformats.org/markup-compatibility/2006">
          <mc:Choice Requires="x14">
            <control shapeId="93199" r:id="rId7" name="Spinner 15">
              <controlPr defaultSize="0" autoPict="0">
                <anchor moveWithCells="1" sizeWithCells="1">
                  <from>
                    <xdr:col>8</xdr:col>
                    <xdr:colOff>209550</xdr:colOff>
                    <xdr:row>16</xdr:row>
                    <xdr:rowOff>142875</xdr:rowOff>
                  </from>
                  <to>
                    <xdr:col>8</xdr:col>
                    <xdr:colOff>466725</xdr:colOff>
                    <xdr:row>18</xdr:row>
                    <xdr:rowOff>47625</xdr:rowOff>
                  </to>
                </anchor>
              </controlPr>
            </control>
          </mc:Choice>
        </mc:AlternateContent>
        <mc:AlternateContent xmlns:mc="http://schemas.openxmlformats.org/markup-compatibility/2006">
          <mc:Choice Requires="x14">
            <control shapeId="93207" r:id="rId8" name="Drop Down 23">
              <controlPr defaultSize="0" autoLine="0" autoPict="0">
                <anchor moveWithCells="1">
                  <from>
                    <xdr:col>2</xdr:col>
                    <xdr:colOff>19050</xdr:colOff>
                    <xdr:row>29</xdr:row>
                    <xdr:rowOff>28575</xdr:rowOff>
                  </from>
                  <to>
                    <xdr:col>3</xdr:col>
                    <xdr:colOff>504825</xdr:colOff>
                    <xdr:row>30</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B1:CO61"/>
  <sheetViews>
    <sheetView topLeftCell="S35" workbookViewId="0">
      <selection activeCell="N51" sqref="N51"/>
    </sheetView>
  </sheetViews>
  <sheetFormatPr baseColWidth="10" defaultRowHeight="12.75" x14ac:dyDescent="0.2"/>
  <cols>
    <col min="1" max="1" width="5" customWidth="1"/>
    <col min="3" max="3" width="27.5703125" customWidth="1"/>
    <col min="4" max="4" width="22.7109375" customWidth="1"/>
    <col min="5" max="5" width="12.42578125" customWidth="1"/>
    <col min="6" max="6" width="11.7109375" customWidth="1"/>
    <col min="7" max="7" width="11.42578125" customWidth="1"/>
    <col min="8" max="8" width="11.42578125" style="3690" customWidth="1"/>
    <col min="9" max="10" width="11.85546875" style="3690" customWidth="1"/>
    <col min="11" max="11" width="11.28515625" style="3690" customWidth="1"/>
    <col min="12" max="12" width="12.42578125" style="3690" customWidth="1"/>
    <col min="13" max="13" width="11.42578125" customWidth="1"/>
    <col min="14" max="15" width="11.85546875" customWidth="1"/>
    <col min="16" max="18" width="11.85546875" style="3589" customWidth="1"/>
    <col min="19" max="21" width="11" style="3690"/>
    <col min="22" max="24" width="11" style="3589"/>
    <col min="28" max="30" width="11" style="3589"/>
    <col min="35" max="37" width="11" style="3589"/>
    <col min="41" max="43" width="11" style="3589"/>
    <col min="47" max="49" width="11" style="3589"/>
  </cols>
  <sheetData>
    <row r="1" spans="2:93" ht="13.5" thickBot="1" x14ac:dyDescent="0.25"/>
    <row r="2" spans="2:93" ht="27" thickBot="1" x14ac:dyDescent="0.25">
      <c r="B2" s="3154" t="s">
        <v>1332</v>
      </c>
      <c r="C2" s="3155"/>
      <c r="D2" s="3156">
        <v>2016</v>
      </c>
      <c r="E2" s="3157"/>
      <c r="F2" s="3155"/>
      <c r="G2" s="3158" t="s">
        <v>1333</v>
      </c>
      <c r="H2" s="3698"/>
      <c r="I2" s="3698"/>
      <c r="J2" s="3698"/>
      <c r="K2" s="3698"/>
      <c r="L2" s="3698"/>
      <c r="O2" s="3158"/>
      <c r="P2" s="3590"/>
      <c r="Q2" s="3591"/>
      <c r="R2" s="3590"/>
      <c r="S2" s="4074" t="s">
        <v>1334</v>
      </c>
      <c r="T2" s="4075"/>
      <c r="U2" s="4075"/>
      <c r="V2" s="4075"/>
      <c r="W2" s="4075"/>
      <c r="X2" s="4075"/>
      <c r="Y2" s="4075"/>
      <c r="Z2" s="4075"/>
      <c r="AA2" s="4075"/>
      <c r="AB2" s="4075"/>
      <c r="AC2" s="4075"/>
      <c r="AD2" s="4076"/>
      <c r="AE2" s="3159"/>
      <c r="AF2" s="4074" t="s">
        <v>1334</v>
      </c>
      <c r="AG2" s="4075"/>
      <c r="AH2" s="4075"/>
      <c r="AI2" s="4075"/>
      <c r="AJ2" s="4075"/>
      <c r="AK2" s="4075"/>
      <c r="AL2" s="4075"/>
      <c r="AM2" s="4075"/>
      <c r="AN2" s="4075"/>
      <c r="AO2" s="4075"/>
      <c r="AP2" s="4075"/>
      <c r="AQ2" s="4075"/>
      <c r="AR2" s="4077"/>
      <c r="AS2" s="4077"/>
      <c r="AT2" s="4077"/>
      <c r="AU2" s="4077"/>
      <c r="AV2" s="4077"/>
      <c r="AW2" s="4078"/>
      <c r="AX2" s="4079" t="s">
        <v>1335</v>
      </c>
      <c r="AY2" s="4080"/>
      <c r="AZ2" s="4080"/>
      <c r="BA2" s="4080"/>
      <c r="BB2" s="4080"/>
      <c r="BC2" s="4080"/>
      <c r="BD2" s="4080"/>
      <c r="BE2" s="4080"/>
      <c r="BF2" s="4080"/>
      <c r="BG2" s="4080"/>
      <c r="BH2" s="4080"/>
      <c r="BI2" s="4080"/>
      <c r="BJ2" s="4080"/>
      <c r="BK2" s="4080"/>
      <c r="BL2" s="4080"/>
      <c r="BM2" s="4080"/>
      <c r="BN2" s="4080"/>
      <c r="BO2" s="4081"/>
      <c r="BP2" s="4079" t="s">
        <v>1336</v>
      </c>
      <c r="BQ2" s="4080"/>
      <c r="BR2" s="4080"/>
      <c r="BS2" s="4080"/>
      <c r="BT2" s="4080"/>
      <c r="BU2" s="4080"/>
      <c r="BV2" s="4080"/>
      <c r="BW2" s="4080"/>
      <c r="BX2" s="4080"/>
      <c r="BY2" s="4080"/>
      <c r="BZ2" s="4080"/>
      <c r="CA2" s="4080"/>
      <c r="CB2" s="4080"/>
      <c r="CC2" s="4080"/>
      <c r="CD2" s="4080"/>
      <c r="CE2" s="4080"/>
      <c r="CF2" s="4081"/>
      <c r="CG2" s="3160"/>
      <c r="CH2" s="3161"/>
      <c r="CI2" s="3160"/>
      <c r="CJ2" s="3160"/>
      <c r="CK2" s="3160"/>
      <c r="CL2" s="3160"/>
      <c r="CM2" s="3160"/>
      <c r="CN2" s="3160"/>
      <c r="CO2" s="3162"/>
    </row>
    <row r="3" spans="2:93" ht="186.75" thickBot="1" x14ac:dyDescent="0.25">
      <c r="B3" s="3163" t="s">
        <v>1337</v>
      </c>
      <c r="C3" s="3164"/>
      <c r="D3" s="3165"/>
      <c r="E3" s="4082" t="s">
        <v>1338</v>
      </c>
      <c r="F3" s="4083"/>
      <c r="G3" s="4084"/>
      <c r="H3" s="4085" t="s">
        <v>1339</v>
      </c>
      <c r="I3" s="4086"/>
      <c r="J3" s="4086"/>
      <c r="K3" s="4086"/>
      <c r="L3" s="4087"/>
      <c r="M3" s="4088" t="s">
        <v>417</v>
      </c>
      <c r="N3" s="4088"/>
      <c r="O3" s="3166" t="s">
        <v>1340</v>
      </c>
      <c r="P3" s="4089" t="s">
        <v>248</v>
      </c>
      <c r="Q3" s="4090"/>
      <c r="R3" s="4091"/>
      <c r="S3" t="s">
        <v>1341</v>
      </c>
      <c r="T3"/>
      <c r="U3"/>
      <c r="V3" t="s">
        <v>1342</v>
      </c>
      <c r="W3"/>
      <c r="X3"/>
      <c r="Y3" s="4092" t="s">
        <v>1343</v>
      </c>
      <c r="Z3" s="4093"/>
      <c r="AA3" s="4088"/>
      <c r="AB3" s="4089" t="s">
        <v>1344</v>
      </c>
      <c r="AC3" s="4090"/>
      <c r="AD3" s="4091"/>
      <c r="AE3" s="3170"/>
      <c r="AF3" s="3167" t="s">
        <v>1345</v>
      </c>
      <c r="AG3" s="3168"/>
      <c r="AH3" s="3169"/>
      <c r="AI3" t="s">
        <v>1346</v>
      </c>
      <c r="AJ3"/>
      <c r="AK3"/>
      <c r="AL3" s="3167" t="s">
        <v>1347</v>
      </c>
      <c r="AM3" s="3168"/>
      <c r="AN3" s="3169"/>
      <c r="AO3" t="s">
        <v>1348</v>
      </c>
      <c r="AP3"/>
      <c r="AQ3"/>
      <c r="AR3" s="3168" t="s">
        <v>1349</v>
      </c>
      <c r="AS3" s="3168"/>
      <c r="AT3" s="3169"/>
      <c r="AU3" t="s">
        <v>1350</v>
      </c>
      <c r="AV3"/>
      <c r="AW3"/>
      <c r="AX3" s="3167" t="s">
        <v>1351</v>
      </c>
      <c r="AY3" s="3168"/>
      <c r="AZ3" s="3169"/>
      <c r="BA3" s="3168" t="s">
        <v>1352</v>
      </c>
      <c r="BB3" s="3168"/>
      <c r="BC3" s="3169"/>
      <c r="BD3" s="3168" t="s">
        <v>1353</v>
      </c>
      <c r="BE3" s="3168"/>
      <c r="BF3" s="3169"/>
      <c r="BG3" s="3168" t="s">
        <v>1354</v>
      </c>
      <c r="BH3" s="3168"/>
      <c r="BI3" s="3169"/>
      <c r="BJ3" s="3168" t="s">
        <v>1355</v>
      </c>
      <c r="BK3" s="3168"/>
      <c r="BL3" s="3169"/>
      <c r="BM3" s="3168" t="s">
        <v>1356</v>
      </c>
      <c r="BN3" s="3168"/>
      <c r="BO3" s="3169"/>
      <c r="BP3" s="3171" t="s">
        <v>1357</v>
      </c>
      <c r="BQ3" s="3169" t="s">
        <v>1358</v>
      </c>
      <c r="BR3" s="3171" t="s">
        <v>1359</v>
      </c>
      <c r="BS3" s="3168"/>
      <c r="BT3" s="3169"/>
      <c r="BU3" s="3171" t="s">
        <v>1360</v>
      </c>
      <c r="BV3" s="3168"/>
      <c r="BW3" s="3169"/>
      <c r="BX3" s="3171" t="s">
        <v>1361</v>
      </c>
      <c r="BY3" s="3168"/>
      <c r="BZ3" s="3169"/>
      <c r="CA3" s="3171" t="s">
        <v>1362</v>
      </c>
      <c r="CB3" s="3168"/>
      <c r="CC3" s="3169"/>
      <c r="CD3" s="3171" t="s">
        <v>1363</v>
      </c>
      <c r="CE3" s="3168"/>
      <c r="CF3" s="3169"/>
      <c r="CG3" s="3171" t="s">
        <v>1364</v>
      </c>
      <c r="CH3" s="3168"/>
      <c r="CI3" s="3169"/>
      <c r="CJ3" s="3171" t="s">
        <v>1365</v>
      </c>
      <c r="CK3" s="3168"/>
      <c r="CL3" s="3169"/>
      <c r="CM3" s="3171" t="s">
        <v>1366</v>
      </c>
      <c r="CN3" s="3168"/>
      <c r="CO3" s="3169"/>
    </row>
    <row r="4" spans="2:93" ht="54" x14ac:dyDescent="0.2">
      <c r="B4" s="3172" t="s">
        <v>1367</v>
      </c>
      <c r="C4" s="3173"/>
      <c r="D4" s="3174"/>
      <c r="E4" s="3175" t="s">
        <v>1368</v>
      </c>
      <c r="F4" s="3176" t="s">
        <v>1369</v>
      </c>
      <c r="G4" s="3177" t="s">
        <v>1370</v>
      </c>
      <c r="H4" s="3699" t="s">
        <v>1371</v>
      </c>
      <c r="I4" s="3700" t="s">
        <v>1372</v>
      </c>
      <c r="J4" s="3700" t="s">
        <v>1371</v>
      </c>
      <c r="K4" s="3701" t="s">
        <v>1373</v>
      </c>
      <c r="L4" s="3702" t="s">
        <v>1374</v>
      </c>
      <c r="M4" t="s">
        <v>1375</v>
      </c>
      <c r="N4" t="s">
        <v>1376</v>
      </c>
      <c r="O4" s="3179" t="s">
        <v>1377</v>
      </c>
      <c r="P4" s="3592" t="s">
        <v>1378</v>
      </c>
      <c r="Q4" s="3592" t="s">
        <v>1379</v>
      </c>
      <c r="R4" s="3593" t="s">
        <v>1380</v>
      </c>
      <c r="S4" t="s">
        <v>1074</v>
      </c>
      <c r="T4" t="s">
        <v>1075</v>
      </c>
      <c r="U4" t="s">
        <v>1076</v>
      </c>
      <c r="V4" t="s">
        <v>1074</v>
      </c>
      <c r="W4" t="s">
        <v>1075</v>
      </c>
      <c r="X4" t="s">
        <v>1076</v>
      </c>
      <c r="Y4" s="3180" t="s">
        <v>1074</v>
      </c>
      <c r="Z4" s="3181" t="s">
        <v>1075</v>
      </c>
      <c r="AA4" s="3182" t="s">
        <v>1076</v>
      </c>
      <c r="AB4" t="s">
        <v>1074</v>
      </c>
      <c r="AC4" t="s">
        <v>1075</v>
      </c>
      <c r="AD4" t="s">
        <v>1076</v>
      </c>
      <c r="AE4" s="3183"/>
      <c r="AF4" s="3180" t="s">
        <v>1074</v>
      </c>
      <c r="AG4" s="3181" t="s">
        <v>1075</v>
      </c>
      <c r="AH4" s="3182" t="s">
        <v>1076</v>
      </c>
      <c r="AI4" t="s">
        <v>1074</v>
      </c>
      <c r="AJ4" t="s">
        <v>1075</v>
      </c>
      <c r="AK4" t="s">
        <v>1076</v>
      </c>
      <c r="AL4" s="3184" t="s">
        <v>1074</v>
      </c>
      <c r="AM4" s="3181" t="s">
        <v>1075</v>
      </c>
      <c r="AN4" s="3185" t="s">
        <v>1076</v>
      </c>
      <c r="AO4" t="s">
        <v>1074</v>
      </c>
      <c r="AP4" t="s">
        <v>1075</v>
      </c>
      <c r="AQ4" t="s">
        <v>1076</v>
      </c>
      <c r="AR4" s="3178" t="s">
        <v>1074</v>
      </c>
      <c r="AS4" s="3181" t="s">
        <v>1075</v>
      </c>
      <c r="AT4" s="3186" t="s">
        <v>1076</v>
      </c>
      <c r="AU4" t="s">
        <v>1074</v>
      </c>
      <c r="AV4" t="s">
        <v>1075</v>
      </c>
      <c r="AW4" t="s">
        <v>1076</v>
      </c>
      <c r="AX4" s="3180" t="s">
        <v>1074</v>
      </c>
      <c r="AY4" s="3181" t="s">
        <v>1075</v>
      </c>
      <c r="AZ4" s="3186" t="s">
        <v>1076</v>
      </c>
      <c r="BA4" s="3178" t="s">
        <v>1074</v>
      </c>
      <c r="BB4" s="3181" t="s">
        <v>1075</v>
      </c>
      <c r="BC4" s="3186" t="s">
        <v>1076</v>
      </c>
      <c r="BD4" s="3178" t="s">
        <v>1074</v>
      </c>
      <c r="BE4" s="3181" t="s">
        <v>1075</v>
      </c>
      <c r="BF4" s="3186" t="s">
        <v>1076</v>
      </c>
      <c r="BG4" s="3178" t="s">
        <v>1074</v>
      </c>
      <c r="BH4" s="3181" t="s">
        <v>1075</v>
      </c>
      <c r="BI4" s="3186" t="s">
        <v>1076</v>
      </c>
      <c r="BJ4" s="3187" t="s">
        <v>1381</v>
      </c>
      <c r="BK4" s="3187" t="s">
        <v>1075</v>
      </c>
      <c r="BL4" s="3187" t="s">
        <v>1076</v>
      </c>
      <c r="BM4" s="3187" t="s">
        <v>1381</v>
      </c>
      <c r="BN4" s="3187" t="s">
        <v>1075</v>
      </c>
      <c r="BO4" s="3187" t="s">
        <v>1076</v>
      </c>
      <c r="BP4" s="3188" t="s">
        <v>1382</v>
      </c>
      <c r="BQ4" s="3188" t="s">
        <v>1382</v>
      </c>
      <c r="BR4" s="3187" t="s">
        <v>1381</v>
      </c>
      <c r="BS4" s="3187" t="s">
        <v>1075</v>
      </c>
      <c r="BT4" s="3187" t="s">
        <v>1076</v>
      </c>
      <c r="BU4" s="3187" t="s">
        <v>1381</v>
      </c>
      <c r="BV4" s="3187" t="s">
        <v>1075</v>
      </c>
      <c r="BW4" s="3187" t="s">
        <v>1076</v>
      </c>
      <c r="BX4" s="3187" t="s">
        <v>1381</v>
      </c>
      <c r="BY4" s="3187" t="s">
        <v>1075</v>
      </c>
      <c r="BZ4" s="3187" t="s">
        <v>1076</v>
      </c>
      <c r="CA4" s="3187" t="s">
        <v>1381</v>
      </c>
      <c r="CB4" s="3187" t="s">
        <v>1075</v>
      </c>
      <c r="CC4" s="3187" t="s">
        <v>1076</v>
      </c>
      <c r="CD4" s="3187" t="s">
        <v>1381</v>
      </c>
      <c r="CE4" s="3187" t="s">
        <v>1075</v>
      </c>
      <c r="CF4" s="3187" t="s">
        <v>1076</v>
      </c>
      <c r="CG4" s="3187" t="s">
        <v>1381</v>
      </c>
      <c r="CH4" s="3187" t="s">
        <v>1075</v>
      </c>
      <c r="CI4" s="3187" t="s">
        <v>1076</v>
      </c>
      <c r="CJ4" s="3187" t="s">
        <v>1381</v>
      </c>
      <c r="CK4" s="3187" t="s">
        <v>1075</v>
      </c>
      <c r="CL4" s="3187" t="s">
        <v>1076</v>
      </c>
      <c r="CM4" s="3187" t="s">
        <v>1381</v>
      </c>
      <c r="CN4" s="3187" t="s">
        <v>1075</v>
      </c>
      <c r="CO4" s="3187" t="s">
        <v>1076</v>
      </c>
    </row>
    <row r="5" spans="2:93" ht="16.5" x14ac:dyDescent="0.2">
      <c r="B5" s="3189" t="s">
        <v>1383</v>
      </c>
      <c r="C5" s="3190"/>
      <c r="D5" s="3191" t="s">
        <v>1384</v>
      </c>
      <c r="E5" s="3192">
        <v>70</v>
      </c>
      <c r="F5" s="3193">
        <v>75</v>
      </c>
      <c r="G5" s="3194">
        <v>110</v>
      </c>
      <c r="H5" s="3703">
        <v>70</v>
      </c>
      <c r="I5" s="3704">
        <v>75</v>
      </c>
      <c r="J5" s="3704">
        <v>75</v>
      </c>
      <c r="K5" s="3705">
        <v>110</v>
      </c>
      <c r="L5" s="3706">
        <v>75</v>
      </c>
      <c r="M5">
        <v>60</v>
      </c>
      <c r="N5">
        <v>75</v>
      </c>
      <c r="O5" s="3197">
        <v>110</v>
      </c>
      <c r="P5" s="3594">
        <v>60</v>
      </c>
      <c r="Q5" s="3595">
        <v>90</v>
      </c>
      <c r="R5" s="3596">
        <v>95</v>
      </c>
      <c r="S5" s="3703">
        <v>90</v>
      </c>
      <c r="T5" s="3705">
        <v>105</v>
      </c>
      <c r="U5">
        <v>120</v>
      </c>
      <c r="V5">
        <v>90</v>
      </c>
      <c r="W5">
        <v>110</v>
      </c>
      <c r="X5" s="3606">
        <v>130</v>
      </c>
      <c r="Y5" s="3195">
        <v>90</v>
      </c>
      <c r="Z5" s="3193">
        <v>110</v>
      </c>
      <c r="AA5" s="3194">
        <v>130</v>
      </c>
      <c r="AB5">
        <v>90</v>
      </c>
      <c r="AC5" s="3594">
        <v>110</v>
      </c>
      <c r="AD5" s="3596">
        <v>130</v>
      </c>
      <c r="AE5" s="3198"/>
      <c r="AF5" s="3195">
        <v>110</v>
      </c>
      <c r="AG5" s="3193">
        <v>130</v>
      </c>
      <c r="AH5" s="3194">
        <v>150</v>
      </c>
      <c r="AI5" s="3595">
        <v>120</v>
      </c>
      <c r="AJ5" s="3594">
        <v>145</v>
      </c>
      <c r="AK5">
        <v>170</v>
      </c>
      <c r="AL5" s="3199">
        <v>25</v>
      </c>
      <c r="AM5" s="3193">
        <v>32</v>
      </c>
      <c r="AN5" s="3200">
        <v>40</v>
      </c>
      <c r="AO5" s="3595">
        <v>90</v>
      </c>
      <c r="AP5" s="3594">
        <v>105</v>
      </c>
      <c r="AQ5" s="3596">
        <v>120</v>
      </c>
      <c r="AR5" s="3196">
        <v>100</v>
      </c>
      <c r="AS5" s="3193">
        <v>115</v>
      </c>
      <c r="AT5" s="3194">
        <v>130</v>
      </c>
      <c r="AU5" s="3595">
        <v>90</v>
      </c>
      <c r="AV5" s="3594">
        <v>105</v>
      </c>
      <c r="AW5" s="3596">
        <v>120</v>
      </c>
      <c r="AX5" s="3195">
        <v>120</v>
      </c>
      <c r="AY5" s="3193">
        <v>150</v>
      </c>
      <c r="AZ5" s="3194">
        <v>180</v>
      </c>
      <c r="BA5" s="3196">
        <v>120</v>
      </c>
      <c r="BB5" s="3193">
        <v>150</v>
      </c>
      <c r="BC5" s="3194">
        <v>180</v>
      </c>
      <c r="BD5" s="3196">
        <v>100</v>
      </c>
      <c r="BE5" s="3193">
        <v>120</v>
      </c>
      <c r="BF5" s="3194">
        <v>140</v>
      </c>
      <c r="BG5" s="3196">
        <v>100</v>
      </c>
      <c r="BH5" s="3193">
        <v>120</v>
      </c>
      <c r="BI5" s="3194">
        <v>140</v>
      </c>
      <c r="BJ5" s="3200">
        <v>90</v>
      </c>
      <c r="BK5" s="3194">
        <v>110</v>
      </c>
      <c r="BL5" s="3194">
        <v>130</v>
      </c>
      <c r="BM5" s="3194">
        <v>100</v>
      </c>
      <c r="BN5" s="3194">
        <v>120</v>
      </c>
      <c r="BO5" s="3194">
        <v>140</v>
      </c>
      <c r="BP5" s="3197">
        <v>75</v>
      </c>
      <c r="BQ5" s="3197">
        <v>75</v>
      </c>
      <c r="BR5" s="3194">
        <v>50</v>
      </c>
      <c r="BS5" s="3194">
        <v>60</v>
      </c>
      <c r="BT5" s="3194">
        <v>70</v>
      </c>
      <c r="BU5" s="3194">
        <v>160</v>
      </c>
      <c r="BV5" s="3194">
        <v>190</v>
      </c>
      <c r="BW5" s="3194">
        <v>220</v>
      </c>
      <c r="BX5" s="3194">
        <v>100</v>
      </c>
      <c r="BY5" s="3194">
        <v>130</v>
      </c>
      <c r="BZ5" s="3194">
        <v>160</v>
      </c>
      <c r="CA5" s="3194">
        <v>80</v>
      </c>
      <c r="CB5" s="3194">
        <v>100</v>
      </c>
      <c r="CC5" s="3194">
        <v>120</v>
      </c>
      <c r="CD5" s="3194">
        <v>100</v>
      </c>
      <c r="CE5" s="3194">
        <v>130</v>
      </c>
      <c r="CF5" s="3194">
        <v>160</v>
      </c>
      <c r="CG5" s="3194">
        <v>180</v>
      </c>
      <c r="CH5" s="3194">
        <v>200</v>
      </c>
      <c r="CI5" s="3194">
        <v>220</v>
      </c>
      <c r="CJ5" s="3194">
        <v>100</v>
      </c>
      <c r="CK5" s="3194">
        <v>130</v>
      </c>
      <c r="CL5" s="3194">
        <v>160</v>
      </c>
      <c r="CM5" s="3194">
        <v>100</v>
      </c>
      <c r="CN5" s="3194">
        <v>130</v>
      </c>
      <c r="CO5" s="3194">
        <v>160</v>
      </c>
    </row>
    <row r="6" spans="2:93" ht="16.5" x14ac:dyDescent="0.2">
      <c r="B6" s="3189" t="s">
        <v>1385</v>
      </c>
      <c r="C6" s="3190"/>
      <c r="D6" s="3191" t="s">
        <v>1384</v>
      </c>
      <c r="E6" s="3201">
        <v>66.5</v>
      </c>
      <c r="F6" s="3202">
        <v>71.25</v>
      </c>
      <c r="G6" s="3203">
        <v>104.5</v>
      </c>
      <c r="H6" s="3707">
        <v>66.5</v>
      </c>
      <c r="I6" s="3708">
        <v>71.25</v>
      </c>
      <c r="J6" s="3708">
        <v>71.25</v>
      </c>
      <c r="K6" s="3709">
        <v>104.5</v>
      </c>
      <c r="L6" s="3710">
        <v>71.25</v>
      </c>
      <c r="M6">
        <v>54</v>
      </c>
      <c r="N6">
        <v>67.5</v>
      </c>
      <c r="O6" s="3206">
        <v>104.5</v>
      </c>
      <c r="P6" s="3597">
        <v>48</v>
      </c>
      <c r="Q6" s="3598">
        <v>72</v>
      </c>
      <c r="R6" s="3599">
        <v>80.75</v>
      </c>
      <c r="S6" s="3707">
        <v>85.5</v>
      </c>
      <c r="T6" s="3709">
        <v>99.75</v>
      </c>
      <c r="U6">
        <v>114</v>
      </c>
      <c r="V6" s="3598">
        <v>85.5</v>
      </c>
      <c r="W6" s="3597">
        <v>104.5</v>
      </c>
      <c r="X6">
        <v>126.1</v>
      </c>
      <c r="Y6" s="3204">
        <v>85.5</v>
      </c>
      <c r="Z6" s="3202">
        <v>104.5</v>
      </c>
      <c r="AA6" s="3203">
        <v>123.5</v>
      </c>
      <c r="AB6">
        <v>85.5</v>
      </c>
      <c r="AC6" s="3597">
        <v>104.5</v>
      </c>
      <c r="AD6" s="3599">
        <v>123.5</v>
      </c>
      <c r="AE6" s="3207"/>
      <c r="AF6" s="3204">
        <v>110</v>
      </c>
      <c r="AG6" s="3202">
        <v>130</v>
      </c>
      <c r="AH6" s="3203">
        <v>150</v>
      </c>
      <c r="AI6" s="3598">
        <v>114</v>
      </c>
      <c r="AJ6" s="3597">
        <v>137.75</v>
      </c>
      <c r="AK6">
        <v>161.5</v>
      </c>
      <c r="AL6" s="3208">
        <v>23.75</v>
      </c>
      <c r="AM6" s="3202">
        <v>30.4</v>
      </c>
      <c r="AN6" s="3209">
        <v>38</v>
      </c>
      <c r="AO6" s="3598">
        <v>85.5</v>
      </c>
      <c r="AP6" s="3597">
        <v>99.75</v>
      </c>
      <c r="AQ6" s="3599">
        <v>114</v>
      </c>
      <c r="AR6" s="3205">
        <v>95</v>
      </c>
      <c r="AS6" s="3202">
        <v>109.25</v>
      </c>
      <c r="AT6" s="3203">
        <v>123.5</v>
      </c>
      <c r="AU6" s="3598">
        <v>85.5</v>
      </c>
      <c r="AV6" s="3597">
        <v>99.75</v>
      </c>
      <c r="AW6" s="3599">
        <v>114</v>
      </c>
      <c r="AX6" s="3204">
        <v>114</v>
      </c>
      <c r="AY6" s="3202">
        <v>142.5</v>
      </c>
      <c r="AZ6" s="3203">
        <v>171</v>
      </c>
      <c r="BA6" s="3205">
        <v>114</v>
      </c>
      <c r="BB6" s="3202">
        <v>142.5</v>
      </c>
      <c r="BC6" s="3203">
        <v>171</v>
      </c>
      <c r="BD6" s="3205">
        <v>95</v>
      </c>
      <c r="BE6" s="3202">
        <v>114</v>
      </c>
      <c r="BF6" s="3203">
        <v>133</v>
      </c>
      <c r="BG6" s="3205">
        <v>95</v>
      </c>
      <c r="BH6" s="3202">
        <v>114</v>
      </c>
      <c r="BI6" s="3203">
        <v>133</v>
      </c>
      <c r="BJ6" s="3209">
        <v>85.5</v>
      </c>
      <c r="BK6" s="3203">
        <v>104.5</v>
      </c>
      <c r="BL6" s="3203">
        <v>123.5</v>
      </c>
      <c r="BM6" s="3203">
        <v>95</v>
      </c>
      <c r="BN6" s="3203">
        <v>114</v>
      </c>
      <c r="BO6" s="3203">
        <v>133</v>
      </c>
      <c r="BP6" s="3206">
        <v>71.25</v>
      </c>
      <c r="BQ6" s="3206">
        <v>71.25</v>
      </c>
      <c r="BR6" s="3203">
        <v>47.5</v>
      </c>
      <c r="BS6" s="3203">
        <v>57</v>
      </c>
      <c r="BT6" s="3203">
        <v>66.5</v>
      </c>
      <c r="BU6" s="3203">
        <v>160</v>
      </c>
      <c r="BV6" s="3203">
        <v>180.5</v>
      </c>
      <c r="BW6" s="3203">
        <v>209</v>
      </c>
      <c r="BX6" s="3203">
        <v>95</v>
      </c>
      <c r="BY6" s="3203">
        <v>123.5</v>
      </c>
      <c r="BZ6" s="3203">
        <v>152</v>
      </c>
      <c r="CA6" s="3203">
        <v>76</v>
      </c>
      <c r="CB6" s="3203">
        <v>95</v>
      </c>
      <c r="CC6" s="3203">
        <v>114</v>
      </c>
      <c r="CD6" s="3203">
        <v>95</v>
      </c>
      <c r="CE6" s="3203">
        <v>123.5</v>
      </c>
      <c r="CF6" s="3203">
        <v>152</v>
      </c>
      <c r="CG6" s="3203">
        <v>171</v>
      </c>
      <c r="CH6" s="3203">
        <v>190</v>
      </c>
      <c r="CI6" s="3203">
        <v>209</v>
      </c>
      <c r="CJ6" s="3203">
        <v>95</v>
      </c>
      <c r="CK6" s="3203">
        <v>123.5</v>
      </c>
      <c r="CL6" s="3203">
        <v>152</v>
      </c>
      <c r="CM6" s="3203">
        <v>95</v>
      </c>
      <c r="CN6" s="3203">
        <v>123.5</v>
      </c>
      <c r="CO6" s="3203">
        <v>152</v>
      </c>
    </row>
    <row r="7" spans="2:93" ht="16.5" x14ac:dyDescent="0.2">
      <c r="B7" s="3210" t="s">
        <v>1386</v>
      </c>
      <c r="C7" s="3211"/>
      <c r="D7" s="3212" t="s">
        <v>1387</v>
      </c>
      <c r="E7" s="3201">
        <v>369.44444444444446</v>
      </c>
      <c r="F7" s="3202">
        <v>395.83333333333337</v>
      </c>
      <c r="G7" s="3203">
        <v>580.55555555555554</v>
      </c>
      <c r="H7" s="3707">
        <v>190</v>
      </c>
      <c r="I7" s="3708">
        <v>203.57142857142858</v>
      </c>
      <c r="J7" s="3708">
        <v>203.57142857142858</v>
      </c>
      <c r="K7" s="3709">
        <v>298.57142857142856</v>
      </c>
      <c r="L7" s="3710">
        <v>203.57142857142856</v>
      </c>
      <c r="M7">
        <v>62.79069767441861</v>
      </c>
      <c r="N7">
        <v>78.488372093023258</v>
      </c>
      <c r="O7" s="3206">
        <v>116.11111111111111</v>
      </c>
      <c r="P7" s="3597">
        <v>300</v>
      </c>
      <c r="Q7" s="3598">
        <v>450</v>
      </c>
      <c r="R7" s="3599">
        <v>504.6875</v>
      </c>
      <c r="S7" s="3707">
        <v>534.375</v>
      </c>
      <c r="T7" s="3709">
        <v>623.4375</v>
      </c>
      <c r="U7">
        <v>712.5</v>
      </c>
      <c r="V7" s="3598">
        <v>534.375</v>
      </c>
      <c r="W7" s="3597">
        <v>653.125</v>
      </c>
      <c r="X7">
        <v>788.125</v>
      </c>
      <c r="Y7" s="3204">
        <v>259.09090909090907</v>
      </c>
      <c r="Z7" s="3202">
        <v>316.66666666666663</v>
      </c>
      <c r="AA7" s="3203">
        <v>374.24242424242425</v>
      </c>
      <c r="AB7">
        <v>259.09090909090907</v>
      </c>
      <c r="AC7" s="3597">
        <v>316.66666666666663</v>
      </c>
      <c r="AD7" s="3599">
        <v>374.24242424242425</v>
      </c>
      <c r="AE7" s="3207"/>
      <c r="AF7" s="3204">
        <v>333.33333333333337</v>
      </c>
      <c r="AG7" s="3202">
        <v>393.93939393939394</v>
      </c>
      <c r="AH7" s="3203">
        <v>454.54545454545456</v>
      </c>
      <c r="AI7" s="3598">
        <v>345.45454545454544</v>
      </c>
      <c r="AJ7" s="3597">
        <v>417.42424242424238</v>
      </c>
      <c r="AK7">
        <v>489.39393939393938</v>
      </c>
      <c r="AL7" s="3208">
        <v>197.91666666666669</v>
      </c>
      <c r="AM7" s="3202">
        <v>253.33333333333331</v>
      </c>
      <c r="AN7" s="3209">
        <v>316.66666666666663</v>
      </c>
      <c r="AO7" s="3598">
        <v>213.75000000000003</v>
      </c>
      <c r="AP7" s="3597">
        <v>249.375</v>
      </c>
      <c r="AQ7" s="3599">
        <v>285</v>
      </c>
      <c r="AR7" s="3205">
        <v>182.69230769230768</v>
      </c>
      <c r="AS7" s="3202">
        <v>210.09615384615384</v>
      </c>
      <c r="AT7" s="3203">
        <v>237.5</v>
      </c>
      <c r="AU7" s="3598">
        <v>135.71428571428572</v>
      </c>
      <c r="AV7" s="3597">
        <v>158.33333333333331</v>
      </c>
      <c r="AW7" s="3599">
        <v>180.95238095238096</v>
      </c>
      <c r="AX7" s="3204">
        <v>345.45454545454544</v>
      </c>
      <c r="AY7" s="3202">
        <v>431.81818181818181</v>
      </c>
      <c r="AZ7" s="3203">
        <v>518.18181818181813</v>
      </c>
      <c r="BA7" s="3205">
        <v>345.45454545454544</v>
      </c>
      <c r="BB7" s="3202">
        <v>431.81818181818181</v>
      </c>
      <c r="BC7" s="3203">
        <v>518.18181818181813</v>
      </c>
      <c r="BD7" s="3205">
        <v>271.42857142857144</v>
      </c>
      <c r="BE7" s="3202">
        <v>325.71428571428572</v>
      </c>
      <c r="BF7" s="3203">
        <v>380</v>
      </c>
      <c r="BG7" s="3205">
        <v>271.42857142857144</v>
      </c>
      <c r="BH7" s="3202">
        <v>325.71428571428572</v>
      </c>
      <c r="BI7" s="3203">
        <v>380</v>
      </c>
      <c r="BJ7" s="3209">
        <v>285</v>
      </c>
      <c r="BK7" s="3203">
        <v>348.33333333333331</v>
      </c>
      <c r="BL7" s="3203">
        <v>411.66666666666663</v>
      </c>
      <c r="BM7" s="3203">
        <v>296.875</v>
      </c>
      <c r="BN7" s="3203">
        <v>356.25</v>
      </c>
      <c r="BO7" s="3203">
        <v>415.625</v>
      </c>
      <c r="BP7" s="3206">
        <v>203.57142857142858</v>
      </c>
      <c r="BQ7" s="3206">
        <v>203.57142857142858</v>
      </c>
      <c r="BR7" s="3203">
        <v>190</v>
      </c>
      <c r="BS7" s="3203">
        <v>227.99999999999997</v>
      </c>
      <c r="BT7" s="3203">
        <v>266</v>
      </c>
      <c r="BU7" s="3203">
        <v>516.12903225806451</v>
      </c>
      <c r="BV7" s="3203">
        <v>582.25806451612902</v>
      </c>
      <c r="BW7" s="3203">
        <v>674.19354838709683</v>
      </c>
      <c r="BX7" s="3203">
        <v>339.28571428571428</v>
      </c>
      <c r="BY7" s="3203">
        <v>441.07142857142856</v>
      </c>
      <c r="BZ7" s="3203">
        <v>542.85714285714289</v>
      </c>
      <c r="CA7" s="3203">
        <v>304</v>
      </c>
      <c r="CB7" s="3203">
        <v>380</v>
      </c>
      <c r="CC7" s="3203">
        <v>455.99999999999994</v>
      </c>
      <c r="CD7" s="3203">
        <v>339.28571428571428</v>
      </c>
      <c r="CE7" s="3203">
        <v>441.07142857142856</v>
      </c>
      <c r="CF7" s="3203">
        <v>542.85714285714289</v>
      </c>
      <c r="CG7" s="3203">
        <v>551.61290322580646</v>
      </c>
      <c r="CH7" s="3203">
        <v>612.90322580645159</v>
      </c>
      <c r="CI7" s="3203">
        <v>674.19354838709683</v>
      </c>
      <c r="CJ7" s="3203">
        <v>339.28571428571428</v>
      </c>
      <c r="CK7" s="3203">
        <v>441.07142857142856</v>
      </c>
      <c r="CL7" s="3203">
        <v>542.85714285714289</v>
      </c>
      <c r="CM7" s="3203">
        <v>339.28571428571428</v>
      </c>
      <c r="CN7" s="3203">
        <v>441.07142857142856</v>
      </c>
      <c r="CO7" s="3203">
        <v>542.85714285714289</v>
      </c>
    </row>
    <row r="8" spans="2:93" ht="16.5" x14ac:dyDescent="0.2">
      <c r="B8" s="3189" t="s">
        <v>1388</v>
      </c>
      <c r="C8" s="3190"/>
      <c r="D8" s="3191" t="s">
        <v>1387</v>
      </c>
      <c r="E8" s="3192">
        <v>369.44444444444446</v>
      </c>
      <c r="F8" s="3193">
        <v>395.83333333333337</v>
      </c>
      <c r="G8" s="3194">
        <v>580.55555555555554</v>
      </c>
      <c r="H8" s="3703">
        <v>167.14864864864865</v>
      </c>
      <c r="I8" s="3704">
        <v>179.08783783783784</v>
      </c>
      <c r="J8" s="3704">
        <v>179.08783783783784</v>
      </c>
      <c r="K8" s="3705">
        <v>262.66216216216219</v>
      </c>
      <c r="L8" s="3706">
        <v>179.08783783783781</v>
      </c>
      <c r="M8">
        <v>58.295454545454547</v>
      </c>
      <c r="N8">
        <v>72.869318181818187</v>
      </c>
      <c r="O8" s="3197">
        <v>116.11111111111111</v>
      </c>
      <c r="P8" s="3594">
        <v>300</v>
      </c>
      <c r="Q8" s="3595">
        <v>450</v>
      </c>
      <c r="R8" s="3596">
        <v>504.6875</v>
      </c>
      <c r="S8" s="3703">
        <v>534.375</v>
      </c>
      <c r="T8" s="3705">
        <v>623.4375</v>
      </c>
      <c r="U8">
        <v>712.5</v>
      </c>
      <c r="V8" s="3595">
        <v>534.375</v>
      </c>
      <c r="W8" s="3594">
        <v>653.125</v>
      </c>
      <c r="X8" s="3606">
        <v>788.125</v>
      </c>
      <c r="Y8" s="3195">
        <v>227.18571428571428</v>
      </c>
      <c r="Z8" s="3193">
        <v>277.67142857142858</v>
      </c>
      <c r="AA8" s="3194">
        <v>328.15714285714284</v>
      </c>
      <c r="AB8">
        <v>227.18571428571428</v>
      </c>
      <c r="AC8" s="3594">
        <v>277.67142857142858</v>
      </c>
      <c r="AD8" s="3596">
        <v>328.15714285714284</v>
      </c>
      <c r="AE8" s="3198"/>
      <c r="AF8" s="3195">
        <v>298.57142857142856</v>
      </c>
      <c r="AG8" s="3193">
        <v>352.85714285714283</v>
      </c>
      <c r="AH8" s="3194">
        <v>407.14285714285711</v>
      </c>
      <c r="AI8" s="3595">
        <v>319.20000000000005</v>
      </c>
      <c r="AJ8" s="3594">
        <v>385.70000000000005</v>
      </c>
      <c r="AK8">
        <v>452.20000000000005</v>
      </c>
      <c r="AL8" s="3199">
        <v>197.91666666666669</v>
      </c>
      <c r="AM8" s="3193">
        <v>253.33333333333331</v>
      </c>
      <c r="AN8" s="3200">
        <v>316.66666666666663</v>
      </c>
      <c r="AO8" s="3595">
        <v>209.47500000000002</v>
      </c>
      <c r="AP8" s="3594">
        <v>244.38749999999999</v>
      </c>
      <c r="AQ8" s="3596">
        <v>279.3</v>
      </c>
      <c r="AR8" s="3196">
        <v>172.40740740740739</v>
      </c>
      <c r="AS8" s="3193">
        <v>198.26851851851853</v>
      </c>
      <c r="AT8" s="3194">
        <v>224.12962962962962</v>
      </c>
      <c r="AU8" s="3595">
        <v>128.90769230769232</v>
      </c>
      <c r="AV8" s="3594">
        <v>150.3923076923077</v>
      </c>
      <c r="AW8" s="3596">
        <v>171.87692307692308</v>
      </c>
      <c r="AX8" s="3195">
        <v>319.20000000000005</v>
      </c>
      <c r="AY8" s="3193">
        <v>399</v>
      </c>
      <c r="AZ8" s="3194">
        <v>478.8</v>
      </c>
      <c r="BA8" s="3196">
        <v>319.20000000000005</v>
      </c>
      <c r="BB8" s="3193">
        <v>399</v>
      </c>
      <c r="BC8" s="3194">
        <v>478.8</v>
      </c>
      <c r="BD8" s="3196">
        <v>251.62162162162161</v>
      </c>
      <c r="BE8" s="3193">
        <v>301.94594594594594</v>
      </c>
      <c r="BF8" s="3194">
        <v>352.27027027027032</v>
      </c>
      <c r="BG8" s="3196">
        <v>251.62162162162161</v>
      </c>
      <c r="BH8" s="3193">
        <v>301.94594594594594</v>
      </c>
      <c r="BI8" s="3194">
        <v>352.27027027027032</v>
      </c>
      <c r="BJ8" s="3200">
        <v>248.484375</v>
      </c>
      <c r="BK8" s="3194">
        <v>303.703125</v>
      </c>
      <c r="BL8" s="3194">
        <v>358.921875</v>
      </c>
      <c r="BM8" s="3194">
        <v>259.85294117647055</v>
      </c>
      <c r="BN8" s="3194">
        <v>311.8235294117647</v>
      </c>
      <c r="BO8" s="3194">
        <v>363.79411764705878</v>
      </c>
      <c r="BP8" s="3197">
        <v>179.08783783783784</v>
      </c>
      <c r="BQ8" s="3197">
        <v>179.08783783783784</v>
      </c>
      <c r="BR8" s="3194">
        <v>157.76785714285714</v>
      </c>
      <c r="BS8" s="3194">
        <v>189.32142857142858</v>
      </c>
      <c r="BT8" s="3194">
        <v>220.87499999999997</v>
      </c>
      <c r="BU8" s="3194">
        <v>450.90909090909099</v>
      </c>
      <c r="BV8" s="3194">
        <v>508.68181818181819</v>
      </c>
      <c r="BW8" s="3194">
        <v>589</v>
      </c>
      <c r="BX8" s="3194">
        <v>294.5</v>
      </c>
      <c r="BY8" s="3194">
        <v>382.85</v>
      </c>
      <c r="BZ8" s="3194">
        <v>471.20000000000005</v>
      </c>
      <c r="CA8" s="3194">
        <v>261.77777777777777</v>
      </c>
      <c r="CB8" s="3194">
        <v>327.22222222222223</v>
      </c>
      <c r="CC8" s="3194">
        <v>392.66666666666663</v>
      </c>
      <c r="CD8" s="3194">
        <v>294.5</v>
      </c>
      <c r="CE8" s="3194">
        <v>382.85</v>
      </c>
      <c r="CF8" s="3194">
        <v>471.20000000000005</v>
      </c>
      <c r="CG8" s="3194">
        <v>481.90909090909093</v>
      </c>
      <c r="CH8" s="3194">
        <v>535.4545454545455</v>
      </c>
      <c r="CI8" s="3194">
        <v>589</v>
      </c>
      <c r="CJ8" s="3194">
        <v>294.5</v>
      </c>
      <c r="CK8" s="3194">
        <v>382.85</v>
      </c>
      <c r="CL8" s="3194">
        <v>471.20000000000005</v>
      </c>
      <c r="CM8" s="3194">
        <v>294.5</v>
      </c>
      <c r="CN8" s="3194">
        <v>382.85</v>
      </c>
      <c r="CO8" s="3194">
        <v>471.20000000000005</v>
      </c>
    </row>
    <row r="9" spans="2:93" ht="16.5" x14ac:dyDescent="0.2">
      <c r="B9" s="3189" t="s">
        <v>1389</v>
      </c>
      <c r="C9" s="3190"/>
      <c r="D9" s="3191" t="s">
        <v>1384</v>
      </c>
      <c r="E9" s="3192">
        <v>66.5</v>
      </c>
      <c r="F9" s="3193">
        <v>71.25</v>
      </c>
      <c r="G9" s="3194">
        <v>104.5</v>
      </c>
      <c r="H9" s="3703">
        <v>61.844999999999999</v>
      </c>
      <c r="I9" s="3704">
        <v>66.262500000000003</v>
      </c>
      <c r="J9" s="3704">
        <v>66.262500000000003</v>
      </c>
      <c r="K9" s="3705">
        <v>97.185000000000002</v>
      </c>
      <c r="L9" s="3706">
        <v>66.262500000000003</v>
      </c>
      <c r="M9">
        <v>51.3</v>
      </c>
      <c r="N9">
        <v>64.125</v>
      </c>
      <c r="O9" s="3197">
        <v>104.5</v>
      </c>
      <c r="P9" s="3594">
        <v>48</v>
      </c>
      <c r="Q9" s="3595">
        <v>72</v>
      </c>
      <c r="R9" s="3596">
        <v>80.75</v>
      </c>
      <c r="S9" s="3703">
        <v>85.5</v>
      </c>
      <c r="T9" s="3705">
        <v>99.75</v>
      </c>
      <c r="U9">
        <v>114</v>
      </c>
      <c r="V9" s="3595">
        <v>85.5</v>
      </c>
      <c r="W9" s="3594">
        <v>104.5</v>
      </c>
      <c r="X9" s="3606">
        <v>126.1</v>
      </c>
      <c r="Y9" s="3195">
        <v>79.515000000000001</v>
      </c>
      <c r="Z9" s="3193">
        <v>97.185000000000002</v>
      </c>
      <c r="AA9" s="3194">
        <v>114.855</v>
      </c>
      <c r="AB9">
        <v>79.515000000000001</v>
      </c>
      <c r="AC9" s="3594">
        <v>97.185000000000002</v>
      </c>
      <c r="AD9" s="3596">
        <v>114.855</v>
      </c>
      <c r="AE9" s="3198"/>
      <c r="AF9" s="3195">
        <v>104.5</v>
      </c>
      <c r="AG9" s="3193">
        <v>123.5</v>
      </c>
      <c r="AH9" s="3194">
        <v>142.5</v>
      </c>
      <c r="AI9" s="3595">
        <v>111.72</v>
      </c>
      <c r="AJ9" s="3594">
        <v>134.995</v>
      </c>
      <c r="AK9">
        <v>158.27000000000001</v>
      </c>
      <c r="AL9" s="3199">
        <v>23.75</v>
      </c>
      <c r="AM9" s="3193">
        <v>30.4</v>
      </c>
      <c r="AN9" s="3200">
        <v>38</v>
      </c>
      <c r="AO9" s="3595">
        <v>83.79</v>
      </c>
      <c r="AP9" s="3594">
        <v>97.754999999999995</v>
      </c>
      <c r="AQ9" s="3596">
        <v>111.72</v>
      </c>
      <c r="AR9" s="3196">
        <v>93.1</v>
      </c>
      <c r="AS9" s="3193">
        <v>107.065</v>
      </c>
      <c r="AT9" s="3194">
        <v>121.03</v>
      </c>
      <c r="AU9" s="3595">
        <v>83.79</v>
      </c>
      <c r="AV9" s="3594">
        <v>97.754999999999995</v>
      </c>
      <c r="AW9" s="3596">
        <v>111.72</v>
      </c>
      <c r="AX9" s="3195">
        <v>111.72</v>
      </c>
      <c r="AY9" s="3193">
        <v>139.65</v>
      </c>
      <c r="AZ9" s="3194">
        <v>167.58</v>
      </c>
      <c r="BA9" s="3196">
        <v>111.72</v>
      </c>
      <c r="BB9" s="3193">
        <v>139.65</v>
      </c>
      <c r="BC9" s="3194">
        <v>167.58</v>
      </c>
      <c r="BD9" s="3196">
        <v>93.1</v>
      </c>
      <c r="BE9" s="3193">
        <v>111.72</v>
      </c>
      <c r="BF9" s="3194">
        <v>130.34</v>
      </c>
      <c r="BG9" s="3196">
        <v>93.1</v>
      </c>
      <c r="BH9" s="3193">
        <v>111.72</v>
      </c>
      <c r="BI9" s="3194">
        <v>130.34</v>
      </c>
      <c r="BJ9" s="3200">
        <v>79.515000000000001</v>
      </c>
      <c r="BK9" s="3194">
        <v>97.185000000000002</v>
      </c>
      <c r="BL9" s="3194">
        <v>114.855</v>
      </c>
      <c r="BM9" s="3194">
        <v>88.35</v>
      </c>
      <c r="BN9" s="3194">
        <v>106.02</v>
      </c>
      <c r="BO9" s="3194">
        <v>123.69</v>
      </c>
      <c r="BP9" s="3197">
        <v>66.262500000000003</v>
      </c>
      <c r="BQ9" s="3197">
        <v>66.262500000000003</v>
      </c>
      <c r="BR9" s="3194">
        <v>44.174999999999997</v>
      </c>
      <c r="BS9" s="3194">
        <v>53.01</v>
      </c>
      <c r="BT9" s="3194">
        <v>61.844999999999999</v>
      </c>
      <c r="BU9" s="3194">
        <v>148.80000000000001</v>
      </c>
      <c r="BV9" s="3194">
        <v>167.86500000000001</v>
      </c>
      <c r="BW9" s="3194">
        <v>194.37</v>
      </c>
      <c r="BX9" s="3194">
        <v>88.35</v>
      </c>
      <c r="BY9" s="3194">
        <v>114.855</v>
      </c>
      <c r="BZ9" s="3194">
        <v>141.36000000000001</v>
      </c>
      <c r="CA9" s="3194">
        <v>70.680000000000007</v>
      </c>
      <c r="CB9" s="3194">
        <v>88.35</v>
      </c>
      <c r="CC9" s="3194">
        <v>106.02</v>
      </c>
      <c r="CD9" s="3194">
        <v>88.35</v>
      </c>
      <c r="CE9" s="3194">
        <v>114.855</v>
      </c>
      <c r="CF9" s="3194">
        <v>141.36000000000001</v>
      </c>
      <c r="CG9" s="3194">
        <v>159.03</v>
      </c>
      <c r="CH9" s="3194">
        <v>176.7</v>
      </c>
      <c r="CI9" s="3194">
        <v>194.37</v>
      </c>
      <c r="CJ9" s="3194">
        <v>88.35</v>
      </c>
      <c r="CK9" s="3194">
        <v>114.855</v>
      </c>
      <c r="CL9" s="3194">
        <v>141.36000000000001</v>
      </c>
      <c r="CM9" s="3194">
        <v>88.35</v>
      </c>
      <c r="CN9" s="3194">
        <v>114.855</v>
      </c>
      <c r="CO9" s="3194">
        <v>141.36000000000001</v>
      </c>
    </row>
    <row r="10" spans="2:93" ht="16.5" x14ac:dyDescent="0.2">
      <c r="B10" s="3189" t="s">
        <v>1390</v>
      </c>
      <c r="C10" s="3190"/>
      <c r="D10" s="3212"/>
      <c r="E10" s="3201"/>
      <c r="F10" s="3202"/>
      <c r="G10" s="3203"/>
      <c r="H10" s="3707"/>
      <c r="I10" s="3708"/>
      <c r="J10" s="3708"/>
      <c r="K10" s="3709"/>
      <c r="L10" s="3710"/>
      <c r="O10" s="3206"/>
      <c r="P10" s="3597"/>
      <c r="Q10" s="3598"/>
      <c r="R10" s="3599"/>
      <c r="S10" s="3707"/>
      <c r="T10" s="3709"/>
      <c r="U10"/>
      <c r="V10" s="3598"/>
      <c r="W10" s="3597"/>
      <c r="X10"/>
      <c r="Y10" s="3204"/>
      <c r="Z10" s="3202"/>
      <c r="AA10" s="3203"/>
      <c r="AB10"/>
      <c r="AC10" s="3597"/>
      <c r="AD10" s="3599"/>
      <c r="AE10" s="3207"/>
      <c r="AF10" s="3204"/>
      <c r="AG10" s="3202"/>
      <c r="AH10" s="3203"/>
      <c r="AI10" s="3598"/>
      <c r="AJ10" s="3597"/>
      <c r="AK10"/>
      <c r="AL10" s="3208"/>
      <c r="AM10" s="3202"/>
      <c r="AN10" s="3209"/>
      <c r="AO10" s="3598"/>
      <c r="AP10" s="3597"/>
      <c r="AQ10" s="3599"/>
      <c r="AR10" s="3205"/>
      <c r="AS10" s="3202"/>
      <c r="AT10" s="3203"/>
      <c r="AU10" s="3598"/>
      <c r="AV10" s="3597"/>
      <c r="AW10" s="3599"/>
      <c r="AX10" s="3204"/>
      <c r="AY10" s="3202"/>
      <c r="AZ10" s="3203"/>
      <c r="BA10" s="3205"/>
      <c r="BB10" s="3202"/>
      <c r="BC10" s="3203"/>
      <c r="BD10" s="3205"/>
      <c r="BE10" s="3202"/>
      <c r="BF10" s="3203"/>
      <c r="BG10" s="3205"/>
      <c r="BH10" s="3202"/>
      <c r="BI10" s="3203"/>
      <c r="BJ10" s="3209"/>
      <c r="BK10" s="3203"/>
      <c r="BL10" s="3203"/>
      <c r="BM10" s="3203"/>
      <c r="BN10" s="3203"/>
      <c r="BO10" s="3203"/>
      <c r="BP10" s="3206"/>
      <c r="BQ10" s="3206"/>
      <c r="BR10" s="3203"/>
      <c r="BS10" s="3203"/>
      <c r="BT10" s="3203"/>
      <c r="BU10" s="3203"/>
      <c r="BV10" s="3203"/>
      <c r="BW10" s="3203"/>
      <c r="BX10" s="3203"/>
      <c r="BY10" s="3203"/>
      <c r="BZ10" s="3203"/>
      <c r="CA10" s="3203"/>
      <c r="CB10" s="3203"/>
      <c r="CC10" s="3203"/>
      <c r="CD10" s="3203"/>
      <c r="CE10" s="3203"/>
      <c r="CF10" s="3203"/>
      <c r="CG10" s="3203"/>
      <c r="CH10" s="3203"/>
      <c r="CI10" s="3203"/>
      <c r="CJ10" s="3203"/>
      <c r="CK10" s="3203"/>
      <c r="CL10" s="3203"/>
      <c r="CM10" s="3203"/>
      <c r="CN10" s="3203"/>
      <c r="CO10" s="3203"/>
    </row>
    <row r="11" spans="2:93" ht="16.5" x14ac:dyDescent="0.2">
      <c r="B11" s="3213" t="s">
        <v>1391</v>
      </c>
      <c r="C11" s="3214"/>
      <c r="D11" s="3215"/>
      <c r="E11" s="3216">
        <v>4009.95</v>
      </c>
      <c r="F11" s="3217">
        <v>4367.625</v>
      </c>
      <c r="G11" s="3218">
        <v>6468.5499999999993</v>
      </c>
      <c r="H11" s="3711">
        <v>3494.2424999999998</v>
      </c>
      <c r="I11" s="3712">
        <v>3863.1037500000002</v>
      </c>
      <c r="J11" s="3712">
        <v>3863.1037500000002</v>
      </c>
      <c r="K11" s="3713">
        <v>5850.5370000000003</v>
      </c>
      <c r="L11" s="3714">
        <v>3876.3562499999998</v>
      </c>
      <c r="M11">
        <v>2565</v>
      </c>
      <c r="N11">
        <v>3542.90625</v>
      </c>
      <c r="O11" s="3221">
        <v>6813.4</v>
      </c>
      <c r="P11" s="3600">
        <v>2601.6</v>
      </c>
      <c r="Q11" s="3601">
        <v>4456.8</v>
      </c>
      <c r="R11" s="3602">
        <v>4998.4250000000002</v>
      </c>
      <c r="S11" s="3711">
        <v>5215.5</v>
      </c>
      <c r="T11" s="3713">
        <v>6084.7499999999991</v>
      </c>
      <c r="U11">
        <v>6954</v>
      </c>
      <c r="V11" s="3601">
        <v>5386.5</v>
      </c>
      <c r="W11" s="3600">
        <v>6583.5</v>
      </c>
      <c r="X11" s="3645">
        <v>7944.2999999999993</v>
      </c>
      <c r="Y11" s="3219">
        <v>4850.415</v>
      </c>
      <c r="Z11" s="3217">
        <v>5928.2849999999999</v>
      </c>
      <c r="AA11" s="3218">
        <v>7006.1549999999997</v>
      </c>
      <c r="AB11">
        <v>4611.87</v>
      </c>
      <c r="AC11" s="3600">
        <v>5636.73</v>
      </c>
      <c r="AD11" s="3602">
        <v>6661.59</v>
      </c>
      <c r="AE11" s="3222"/>
      <c r="AF11" s="3219">
        <v>6688.0000000000009</v>
      </c>
      <c r="AG11" s="3217">
        <v>8027.5</v>
      </c>
      <c r="AH11" s="3218">
        <v>9262.5</v>
      </c>
      <c r="AI11" s="3601">
        <v>7261.7999999999993</v>
      </c>
      <c r="AJ11" s="3600">
        <v>8909.67</v>
      </c>
      <c r="AK11">
        <v>10445.820000000002</v>
      </c>
      <c r="AL11" s="3223">
        <v>1496.25</v>
      </c>
      <c r="AM11" s="3217">
        <v>1915.1999999999998</v>
      </c>
      <c r="AN11" s="3224">
        <v>2394</v>
      </c>
      <c r="AO11" s="3601">
        <v>4859.8200000000006</v>
      </c>
      <c r="AP11" s="3600">
        <v>5767.5450000000001</v>
      </c>
      <c r="AQ11" s="3602">
        <v>6591.4800000000005</v>
      </c>
      <c r="AR11" s="3220">
        <v>6889.4</v>
      </c>
      <c r="AS11" s="3217">
        <v>7922.81</v>
      </c>
      <c r="AT11" s="3218">
        <v>8956.2200000000012</v>
      </c>
      <c r="AU11" s="3601">
        <v>6786.9900000000007</v>
      </c>
      <c r="AV11" s="3600">
        <v>7918.1549999999988</v>
      </c>
      <c r="AW11" s="3602">
        <v>9049.32</v>
      </c>
      <c r="AX11" s="3219">
        <v>3575.04</v>
      </c>
      <c r="AY11" s="3217">
        <v>4468.8</v>
      </c>
      <c r="AZ11" s="3218">
        <v>5362.56</v>
      </c>
      <c r="BA11" s="3220">
        <v>3575.04</v>
      </c>
      <c r="BB11" s="3217">
        <v>4468.8</v>
      </c>
      <c r="BC11" s="3218">
        <v>5362.56</v>
      </c>
      <c r="BD11" s="3220">
        <v>2793</v>
      </c>
      <c r="BE11" s="3217">
        <v>3351.6</v>
      </c>
      <c r="BF11" s="3218">
        <v>3910.2000000000003</v>
      </c>
      <c r="BG11" s="3220">
        <v>2793</v>
      </c>
      <c r="BH11" s="3217">
        <v>3351.6</v>
      </c>
      <c r="BI11" s="3218">
        <v>3910.2000000000003</v>
      </c>
      <c r="BJ11" s="3224">
        <v>2305.9349999999999</v>
      </c>
      <c r="BK11" s="3218">
        <v>2818.3650000000002</v>
      </c>
      <c r="BL11" s="3218">
        <v>3330.7950000000001</v>
      </c>
      <c r="BM11" s="3218">
        <v>2562.1499999999996</v>
      </c>
      <c r="BN11" s="3218">
        <v>3074.58</v>
      </c>
      <c r="BO11" s="3218">
        <v>3587.0099999999998</v>
      </c>
      <c r="BP11" s="3221">
        <v>1921.6125</v>
      </c>
      <c r="BQ11" s="3221">
        <v>1921.6125</v>
      </c>
      <c r="BR11" s="3218">
        <v>1281.0749999999998</v>
      </c>
      <c r="BS11" s="3218">
        <v>1537.29</v>
      </c>
      <c r="BT11" s="3218">
        <v>1793.5049999999999</v>
      </c>
      <c r="BU11" s="3218">
        <v>4464</v>
      </c>
      <c r="BV11" s="3218">
        <v>5035.9500000000007</v>
      </c>
      <c r="BW11" s="3218">
        <v>5831.1</v>
      </c>
      <c r="BX11" s="3218">
        <v>2473.7999999999997</v>
      </c>
      <c r="BY11" s="3218">
        <v>3215.94</v>
      </c>
      <c r="BZ11" s="3218">
        <v>3958.0800000000004</v>
      </c>
      <c r="CA11" s="3218">
        <v>1908.3600000000001</v>
      </c>
      <c r="CB11" s="3218">
        <v>2385.4499999999998</v>
      </c>
      <c r="CC11" s="3218">
        <v>2862.54</v>
      </c>
      <c r="CD11" s="3218">
        <v>2473.7999999999997</v>
      </c>
      <c r="CE11" s="3218">
        <v>3215.94</v>
      </c>
      <c r="CF11" s="3218">
        <v>3958.0800000000004</v>
      </c>
      <c r="CG11" s="3218">
        <v>4611.87</v>
      </c>
      <c r="CH11" s="3218">
        <v>5124.2999999999993</v>
      </c>
      <c r="CI11" s="3218">
        <v>5636.7300000000005</v>
      </c>
      <c r="CJ11" s="3218">
        <v>2473.7999999999997</v>
      </c>
      <c r="CK11" s="3218">
        <v>3215.94</v>
      </c>
      <c r="CL11" s="3218">
        <v>3958.0800000000004</v>
      </c>
      <c r="CM11" s="3218">
        <v>1973.15</v>
      </c>
      <c r="CN11" s="3218">
        <v>2565.0950000000003</v>
      </c>
      <c r="CO11" s="3218">
        <v>3157.0400000000004</v>
      </c>
    </row>
    <row r="12" spans="2:93" ht="17.25" thickBot="1" x14ac:dyDescent="0.25">
      <c r="B12" s="3225" t="s">
        <v>1392</v>
      </c>
      <c r="C12" s="3226"/>
      <c r="D12" s="3227"/>
      <c r="E12" s="3228">
        <v>6683.25</v>
      </c>
      <c r="F12" s="3229">
        <v>7279.375</v>
      </c>
      <c r="G12" s="3230">
        <v>10780.916666666666</v>
      </c>
      <c r="H12" s="3715">
        <v>5823.7375000000011</v>
      </c>
      <c r="I12" s="3716">
        <v>6438.5062500000004</v>
      </c>
      <c r="J12" s="3716">
        <v>6438.5062500000004</v>
      </c>
      <c r="K12" s="3717">
        <v>9750.8950000000004</v>
      </c>
      <c r="L12" s="3718">
        <v>6460.59375</v>
      </c>
      <c r="M12">
        <v>4275.0000000000009</v>
      </c>
      <c r="N12">
        <v>5904.84375</v>
      </c>
      <c r="O12" s="3233">
        <v>11355.666666666666</v>
      </c>
      <c r="P12" s="3603">
        <v>4336</v>
      </c>
      <c r="Q12" s="3604">
        <v>7428</v>
      </c>
      <c r="R12" s="3605">
        <v>8330.7083333333321</v>
      </c>
      <c r="S12" s="3715">
        <v>8692.5</v>
      </c>
      <c r="T12" s="3717">
        <v>10141.249999999998</v>
      </c>
      <c r="U12">
        <v>11590</v>
      </c>
      <c r="V12" s="3604">
        <v>8977.5</v>
      </c>
      <c r="W12" s="3603">
        <v>10972.5</v>
      </c>
      <c r="X12">
        <v>13240.5</v>
      </c>
      <c r="Y12" s="3231">
        <v>8084.0249999999996</v>
      </c>
      <c r="Z12" s="3229">
        <v>9880.4750000000004</v>
      </c>
      <c r="AA12" s="3230">
        <v>11676.924999999999</v>
      </c>
      <c r="AB12">
        <v>7686.45</v>
      </c>
      <c r="AC12" s="3603">
        <v>9394.5499999999993</v>
      </c>
      <c r="AD12" s="3605">
        <v>11102.649999999998</v>
      </c>
      <c r="AE12" s="3234"/>
      <c r="AF12" s="3231">
        <v>11146.666666666668</v>
      </c>
      <c r="AG12" s="3229">
        <v>13379.166666666668</v>
      </c>
      <c r="AH12" s="3230">
        <v>15437.5</v>
      </c>
      <c r="AI12" s="3604">
        <v>12103</v>
      </c>
      <c r="AJ12" s="3603">
        <v>14849.45</v>
      </c>
      <c r="AK12">
        <v>17409.7</v>
      </c>
      <c r="AL12" s="3235">
        <v>2493.75</v>
      </c>
      <c r="AM12" s="3229">
        <v>3192</v>
      </c>
      <c r="AN12" s="3236">
        <v>3990</v>
      </c>
      <c r="AO12" s="3604">
        <v>8099.7000000000007</v>
      </c>
      <c r="AP12" s="3603">
        <v>9612.5750000000007</v>
      </c>
      <c r="AQ12" s="3605">
        <v>10985.800000000001</v>
      </c>
      <c r="AR12" s="3232">
        <v>11482.333333333334</v>
      </c>
      <c r="AS12" s="3229">
        <v>13204.683333333334</v>
      </c>
      <c r="AT12" s="3230">
        <v>14927.033333333333</v>
      </c>
      <c r="AU12" s="3604">
        <v>11311.650000000001</v>
      </c>
      <c r="AV12" s="3603">
        <v>13196.924999999999</v>
      </c>
      <c r="AW12" s="3605">
        <v>15082.2</v>
      </c>
      <c r="AX12" s="3231">
        <v>128.70143999999999</v>
      </c>
      <c r="AY12" s="3229">
        <v>160.8768</v>
      </c>
      <c r="AZ12" s="3230">
        <v>193.05215999999999</v>
      </c>
      <c r="BA12" s="3232">
        <v>128.70143999999999</v>
      </c>
      <c r="BB12" s="3229">
        <v>160.8768</v>
      </c>
      <c r="BC12" s="3230">
        <v>193.05215999999999</v>
      </c>
      <c r="BD12" s="3232">
        <v>100.54799999999997</v>
      </c>
      <c r="BE12" s="3229">
        <v>120.65759999999999</v>
      </c>
      <c r="BF12" s="3230">
        <v>140.76719999999997</v>
      </c>
      <c r="BG12" s="3232">
        <v>100.54799999999997</v>
      </c>
      <c r="BH12" s="3229">
        <v>120.65759999999999</v>
      </c>
      <c r="BI12" s="3230">
        <v>140.76719999999997</v>
      </c>
      <c r="BJ12" s="3236">
        <v>83.013659999999987</v>
      </c>
      <c r="BK12" s="3230">
        <v>101.46113999999999</v>
      </c>
      <c r="BL12" s="3230">
        <v>119.90861999999998</v>
      </c>
      <c r="BM12" s="3230">
        <v>92.23739999999998</v>
      </c>
      <c r="BN12" s="3230">
        <v>110.68487999999998</v>
      </c>
      <c r="BO12" s="3230">
        <v>129.13235999999998</v>
      </c>
      <c r="BP12" s="3233">
        <v>69.178049999999985</v>
      </c>
      <c r="BQ12" s="3233">
        <v>69.178049999999985</v>
      </c>
      <c r="BR12" s="3230">
        <v>46.11869999999999</v>
      </c>
      <c r="BS12" s="3230">
        <v>55.342439999999989</v>
      </c>
      <c r="BT12" s="3230">
        <v>64.566179999999989</v>
      </c>
      <c r="BU12" s="3230">
        <v>160.70399999999998</v>
      </c>
      <c r="BV12" s="3230">
        <v>181.29419999999999</v>
      </c>
      <c r="BW12" s="3230">
        <v>209.91959999999997</v>
      </c>
      <c r="BX12" s="3230">
        <v>89.056799999999996</v>
      </c>
      <c r="BY12" s="3230">
        <v>115.77384000000001</v>
      </c>
      <c r="BZ12" s="3230">
        <v>142.49088</v>
      </c>
      <c r="CA12" s="3230">
        <v>68.700960000000009</v>
      </c>
      <c r="CB12" s="3230">
        <v>85.876199999999997</v>
      </c>
      <c r="CC12" s="3230">
        <v>103.05144</v>
      </c>
      <c r="CD12" s="3230">
        <v>89.056799999999996</v>
      </c>
      <c r="CE12" s="3230">
        <v>115.77384000000001</v>
      </c>
      <c r="CF12" s="3230">
        <v>142.49088</v>
      </c>
      <c r="CG12" s="3230">
        <v>166.02731999999997</v>
      </c>
      <c r="CH12" s="3230">
        <v>184.47479999999996</v>
      </c>
      <c r="CI12" s="3230">
        <v>202.92227999999997</v>
      </c>
      <c r="CJ12" s="3230">
        <v>89.056799999999996</v>
      </c>
      <c r="CK12" s="3230">
        <v>115.77384000000001</v>
      </c>
      <c r="CL12" s="3230">
        <v>142.49088</v>
      </c>
      <c r="CM12" s="3230">
        <v>71.0334</v>
      </c>
      <c r="CN12" s="3230">
        <v>92.343420000000009</v>
      </c>
      <c r="CO12" s="3230">
        <v>113.65344000000002</v>
      </c>
    </row>
    <row r="13" spans="2:93" ht="16.5" hidden="1" x14ac:dyDescent="0.2">
      <c r="B13" s="3237" t="s">
        <v>1393</v>
      </c>
      <c r="C13" s="3214"/>
      <c r="D13" s="3215" t="s">
        <v>1058</v>
      </c>
      <c r="E13" s="3192" t="e">
        <v>#REF!</v>
      </c>
      <c r="F13" s="3193" t="e">
        <v>#REF!</v>
      </c>
      <c r="G13" s="3194" t="e">
        <v>#REF!</v>
      </c>
      <c r="H13" s="3703" t="e">
        <v>#REF!</v>
      </c>
      <c r="I13" s="3704" t="e">
        <v>#REF!</v>
      </c>
      <c r="J13" s="3704" t="e">
        <v>#REF!</v>
      </c>
      <c r="K13" s="3705" t="e">
        <v>#REF!</v>
      </c>
      <c r="L13" s="3706" t="e">
        <v>#REF!</v>
      </c>
      <c r="M13" t="e">
        <v>#REF!</v>
      </c>
      <c r="N13" t="e">
        <v>#REF!</v>
      </c>
      <c r="O13" s="3197" t="e">
        <v>#REF!</v>
      </c>
      <c r="P13" s="3594" t="e">
        <v>#REF!</v>
      </c>
      <c r="Q13" s="3595" t="e">
        <v>#REF!</v>
      </c>
      <c r="R13" s="3596" t="e">
        <v>#REF!</v>
      </c>
      <c r="S13" s="3703">
        <v>360</v>
      </c>
      <c r="T13" s="3705">
        <v>330</v>
      </c>
      <c r="U13">
        <v>313</v>
      </c>
      <c r="V13" s="3595">
        <v>360</v>
      </c>
      <c r="W13" s="3594">
        <v>330</v>
      </c>
      <c r="X13" s="3606">
        <v>313</v>
      </c>
      <c r="Y13" s="3195">
        <v>360</v>
      </c>
      <c r="Z13" s="3193">
        <v>330</v>
      </c>
      <c r="AA13" s="3194">
        <v>313</v>
      </c>
      <c r="AB13">
        <v>360</v>
      </c>
      <c r="AC13" s="3594">
        <v>330</v>
      </c>
      <c r="AD13" s="3596">
        <v>313</v>
      </c>
      <c r="AE13" s="3198"/>
      <c r="AF13" s="3195">
        <v>340</v>
      </c>
      <c r="AG13" s="3193">
        <v>340</v>
      </c>
      <c r="AH13" s="3194">
        <v>340</v>
      </c>
      <c r="AI13" s="3595">
        <v>270</v>
      </c>
      <c r="AJ13" s="3594">
        <v>270</v>
      </c>
      <c r="AK13">
        <v>270</v>
      </c>
      <c r="AL13" s="3199">
        <v>0</v>
      </c>
      <c r="AM13" s="3193">
        <v>0</v>
      </c>
      <c r="AN13" s="3200">
        <v>0</v>
      </c>
      <c r="AO13" s="3595">
        <v>270</v>
      </c>
      <c r="AP13" s="3594">
        <v>270</v>
      </c>
      <c r="AQ13" s="3596">
        <v>270</v>
      </c>
      <c r="AR13" s="3196">
        <v>270</v>
      </c>
      <c r="AS13" s="3193">
        <v>270</v>
      </c>
      <c r="AT13" s="3194">
        <v>270</v>
      </c>
      <c r="AU13" s="3595">
        <v>270</v>
      </c>
      <c r="AV13" s="3594">
        <v>270</v>
      </c>
      <c r="AW13" s="3596">
        <v>270</v>
      </c>
      <c r="AX13" s="3195">
        <v>270</v>
      </c>
      <c r="AY13" s="3193">
        <v>270</v>
      </c>
      <c r="AZ13" s="3194">
        <v>270</v>
      </c>
      <c r="BA13" s="3196">
        <v>270</v>
      </c>
      <c r="BB13" s="3193">
        <v>270</v>
      </c>
      <c r="BC13" s="3194">
        <v>270</v>
      </c>
      <c r="BD13" s="3196">
        <v>270</v>
      </c>
      <c r="BE13" s="3193">
        <v>270</v>
      </c>
      <c r="BF13" s="3194">
        <v>270</v>
      </c>
      <c r="BG13" s="3196">
        <v>270</v>
      </c>
      <c r="BH13" s="3193">
        <v>270</v>
      </c>
      <c r="BI13" s="3194">
        <v>270</v>
      </c>
      <c r="BJ13" s="3200">
        <v>360</v>
      </c>
      <c r="BK13" s="3194">
        <v>330</v>
      </c>
      <c r="BL13" s="3194">
        <v>313</v>
      </c>
      <c r="BM13" s="3194">
        <v>360</v>
      </c>
      <c r="BN13" s="3194">
        <v>330</v>
      </c>
      <c r="BO13" s="3194">
        <v>313</v>
      </c>
      <c r="BP13" s="3197" t="e">
        <v>#REF!</v>
      </c>
      <c r="BQ13" s="3197" t="e">
        <v>#REF!</v>
      </c>
      <c r="BR13" s="3194">
        <v>0</v>
      </c>
      <c r="BS13" s="3194">
        <v>0</v>
      </c>
      <c r="BT13" s="3194">
        <v>0</v>
      </c>
      <c r="BU13" s="3194">
        <v>270</v>
      </c>
      <c r="BV13" s="3194">
        <v>270</v>
      </c>
      <c r="BW13" s="3194">
        <v>270</v>
      </c>
      <c r="BX13" s="3194">
        <v>270</v>
      </c>
      <c r="BY13" s="3194">
        <v>270</v>
      </c>
      <c r="BZ13" s="3194">
        <v>270</v>
      </c>
      <c r="CA13" s="3194">
        <v>270</v>
      </c>
      <c r="CB13" s="3194">
        <v>270</v>
      </c>
      <c r="CC13" s="3194">
        <v>270</v>
      </c>
      <c r="CD13" s="3194">
        <v>270</v>
      </c>
      <c r="CE13" s="3194">
        <v>270</v>
      </c>
      <c r="CF13" s="3194">
        <v>270</v>
      </c>
      <c r="CG13" s="3194">
        <v>270</v>
      </c>
      <c r="CH13" s="3194">
        <v>270</v>
      </c>
      <c r="CI13" s="3194">
        <v>270</v>
      </c>
      <c r="CJ13" s="3194">
        <v>270</v>
      </c>
      <c r="CK13" s="3194">
        <v>270</v>
      </c>
      <c r="CL13" s="3194">
        <v>270</v>
      </c>
      <c r="CM13" s="3194">
        <v>270</v>
      </c>
      <c r="CN13" s="3194">
        <v>270</v>
      </c>
      <c r="CO13" s="3194">
        <v>270</v>
      </c>
    </row>
    <row r="14" spans="2:93" ht="17.25" thickBot="1" x14ac:dyDescent="0.25">
      <c r="B14" s="3238"/>
      <c r="C14" s="3239"/>
      <c r="D14" s="3240"/>
      <c r="E14" s="3241"/>
      <c r="F14" s="3241"/>
      <c r="G14" s="3242"/>
      <c r="H14" s="3703"/>
      <c r="I14" s="3706"/>
      <c r="J14" s="3706"/>
      <c r="K14" s="3704"/>
      <c r="L14" s="3706"/>
      <c r="O14" s="3241"/>
      <c r="P14" s="3595"/>
      <c r="Q14" s="3606"/>
      <c r="R14" s="3607"/>
      <c r="S14"/>
      <c r="T14" s="3706"/>
      <c r="U14" s="3706"/>
      <c r="V14" s="3606"/>
      <c r="W14" s="3606"/>
      <c r="X14" s="3606"/>
      <c r="Y14" s="3243"/>
      <c r="Z14" s="3245"/>
      <c r="AA14" s="3246"/>
      <c r="AB14"/>
      <c r="AC14" s="3594"/>
      <c r="AD14" s="3596"/>
      <c r="AE14" s="3198"/>
      <c r="AF14" s="3244"/>
      <c r="AG14" s="3241"/>
      <c r="AH14" s="3242"/>
      <c r="AI14" s="3606"/>
      <c r="AJ14" s="3606"/>
      <c r="AK14" s="3606"/>
      <c r="AL14" s="3241"/>
      <c r="AM14" s="3241"/>
      <c r="AN14" s="3241"/>
      <c r="AO14" s="3606"/>
      <c r="AP14" s="3606"/>
      <c r="AQ14" s="3607"/>
      <c r="AR14" s="3241"/>
      <c r="AS14" s="3241"/>
      <c r="AT14" s="3242"/>
      <c r="AU14" s="3606"/>
      <c r="AV14" s="3606"/>
      <c r="AW14" s="3607"/>
      <c r="AX14" s="3244"/>
      <c r="AY14" s="3241"/>
      <c r="AZ14" s="3242"/>
      <c r="BA14" s="3241"/>
      <c r="BB14" s="3241"/>
      <c r="BC14" s="3242"/>
      <c r="BD14" s="3241"/>
      <c r="BE14" s="3241"/>
      <c r="BF14" s="3242"/>
      <c r="BG14" s="3241"/>
      <c r="BH14" s="3241"/>
      <c r="BI14" s="3242"/>
      <c r="BJ14" s="3242"/>
      <c r="BK14" s="3242"/>
      <c r="BL14" s="3242"/>
      <c r="BM14" s="3242"/>
      <c r="BN14" s="3242"/>
      <c r="BO14" s="3242"/>
      <c r="BP14" s="3198"/>
      <c r="BQ14" s="3198"/>
      <c r="BR14" s="3242"/>
      <c r="BS14" s="3242"/>
      <c r="BT14" s="3242"/>
      <c r="BU14" s="3242"/>
      <c r="BV14" s="3242"/>
      <c r="BW14" s="3242"/>
      <c r="BX14" s="3242"/>
      <c r="BY14" s="3242"/>
      <c r="BZ14" s="3242"/>
      <c r="CA14" s="3242"/>
      <c r="CB14" s="3242"/>
      <c r="CC14" s="3242"/>
      <c r="CD14" s="3242"/>
      <c r="CE14" s="3242"/>
      <c r="CF14" s="3242"/>
      <c r="CG14" s="3242"/>
      <c r="CH14" s="3242"/>
      <c r="CI14" s="3242"/>
      <c r="CJ14" s="3242"/>
      <c r="CK14" s="3242"/>
      <c r="CL14" s="3242"/>
      <c r="CM14" s="3242"/>
      <c r="CN14" s="3242"/>
      <c r="CO14" s="3242"/>
    </row>
    <row r="15" spans="2:93" ht="16.5" x14ac:dyDescent="0.2">
      <c r="B15" s="3247" t="s">
        <v>1394</v>
      </c>
      <c r="C15" s="3248"/>
      <c r="D15" s="3249" t="s">
        <v>1058</v>
      </c>
      <c r="E15" s="3250">
        <v>0</v>
      </c>
      <c r="F15" s="3251">
        <v>16.05</v>
      </c>
      <c r="G15" s="3252">
        <v>16.05</v>
      </c>
      <c r="H15" s="3719">
        <v>16.05</v>
      </c>
      <c r="I15" s="3720">
        <v>16.05</v>
      </c>
      <c r="J15" s="3720">
        <v>16.05</v>
      </c>
      <c r="K15" s="3721">
        <v>16.05</v>
      </c>
      <c r="L15" s="3722">
        <v>16.05</v>
      </c>
      <c r="M15">
        <v>0</v>
      </c>
      <c r="N15">
        <v>0</v>
      </c>
      <c r="O15" s="3255">
        <v>16.05</v>
      </c>
      <c r="P15" s="3608">
        <v>0</v>
      </c>
      <c r="Q15" s="3609">
        <v>19.259999999999998</v>
      </c>
      <c r="R15" s="3610">
        <v>19.259999999999998</v>
      </c>
      <c r="S15" s="3719">
        <v>62.594999999999999</v>
      </c>
      <c r="T15" s="3721">
        <v>62.594999999999999</v>
      </c>
      <c r="U15">
        <v>62.594999999999999</v>
      </c>
      <c r="V15" s="3609">
        <v>52.964999999999996</v>
      </c>
      <c r="W15" s="3608">
        <v>52.964999999999996</v>
      </c>
      <c r="X15">
        <v>52.964999999999996</v>
      </c>
      <c r="Y15" s="3253">
        <v>52.964999999999996</v>
      </c>
      <c r="Z15" s="3251">
        <v>52.964999999999996</v>
      </c>
      <c r="AA15" s="3252">
        <v>52.964999999999996</v>
      </c>
      <c r="AB15">
        <v>64.2</v>
      </c>
      <c r="AC15" s="3608">
        <v>64.2</v>
      </c>
      <c r="AD15" s="3610">
        <v>65.483999999999995</v>
      </c>
      <c r="AE15" s="3207"/>
      <c r="AF15" s="3253">
        <v>217.21</v>
      </c>
      <c r="AG15" s="3251">
        <v>217.21</v>
      </c>
      <c r="AH15" s="3252">
        <v>217.21</v>
      </c>
      <c r="AI15" s="3609">
        <v>170.13</v>
      </c>
      <c r="AJ15" s="3608">
        <v>170.13</v>
      </c>
      <c r="AK15">
        <v>170.13</v>
      </c>
      <c r="AL15" s="3256">
        <v>42.800000000000004</v>
      </c>
      <c r="AM15" s="3251">
        <v>42.800000000000004</v>
      </c>
      <c r="AN15" s="3257">
        <v>42.800000000000004</v>
      </c>
      <c r="AO15" s="3609">
        <v>96.3</v>
      </c>
      <c r="AP15" s="3608">
        <v>96.3</v>
      </c>
      <c r="AQ15" s="3610">
        <v>96.3</v>
      </c>
      <c r="AR15" s="3254">
        <v>170.13</v>
      </c>
      <c r="AS15" s="3251">
        <v>170.13</v>
      </c>
      <c r="AT15" s="3252">
        <v>170.13</v>
      </c>
      <c r="AU15" s="3609">
        <v>170.13</v>
      </c>
      <c r="AV15" s="3608">
        <v>170.13</v>
      </c>
      <c r="AW15" s="3610">
        <v>170.13</v>
      </c>
      <c r="AX15" s="3253">
        <v>170.13</v>
      </c>
      <c r="AY15" s="3251">
        <v>170.13</v>
      </c>
      <c r="AZ15" s="3252">
        <v>170.13</v>
      </c>
      <c r="BA15" s="3254">
        <v>170.13</v>
      </c>
      <c r="BB15" s="3251">
        <v>170.13</v>
      </c>
      <c r="BC15" s="3252">
        <v>170.13</v>
      </c>
      <c r="BD15" s="3254">
        <v>90.95</v>
      </c>
      <c r="BE15" s="3251">
        <v>90.95</v>
      </c>
      <c r="BF15" s="3252">
        <v>90.95</v>
      </c>
      <c r="BG15" s="3254">
        <v>90.95</v>
      </c>
      <c r="BH15" s="3251">
        <v>90.95</v>
      </c>
      <c r="BI15" s="3252">
        <v>90.95</v>
      </c>
      <c r="BJ15" s="3257">
        <v>61.524999999999999</v>
      </c>
      <c r="BK15" s="3252">
        <v>61.524999999999999</v>
      </c>
      <c r="BL15" s="3252">
        <v>61.524999999999999</v>
      </c>
      <c r="BM15" s="3252">
        <v>61.524999999999999</v>
      </c>
      <c r="BN15" s="3252">
        <v>61.524999999999999</v>
      </c>
      <c r="BO15" s="3252">
        <v>61.524999999999999</v>
      </c>
      <c r="BP15" s="3255">
        <v>16.05</v>
      </c>
      <c r="BQ15" s="3255">
        <v>16.05</v>
      </c>
      <c r="BR15" s="3252">
        <v>87.632999999999996</v>
      </c>
      <c r="BS15" s="3252">
        <v>87.632999999999996</v>
      </c>
      <c r="BT15" s="3252">
        <v>87.632999999999996</v>
      </c>
      <c r="BU15" s="3252">
        <v>257.76299999999998</v>
      </c>
      <c r="BV15" s="3252">
        <v>257.76299999999998</v>
      </c>
      <c r="BW15" s="3252">
        <v>257.76299999999998</v>
      </c>
      <c r="BX15" s="3252">
        <v>85.6</v>
      </c>
      <c r="BY15" s="3252">
        <v>85.6</v>
      </c>
      <c r="BZ15" s="3252">
        <v>85.6</v>
      </c>
      <c r="CA15" s="3252">
        <v>96.3</v>
      </c>
      <c r="CB15" s="3252">
        <v>96.3</v>
      </c>
      <c r="CC15" s="3252">
        <v>96.3</v>
      </c>
      <c r="CD15" s="3252">
        <v>128.4</v>
      </c>
      <c r="CE15" s="3252">
        <v>128.4</v>
      </c>
      <c r="CF15" s="3252">
        <v>128.4</v>
      </c>
      <c r="CG15" s="3252">
        <v>176.55</v>
      </c>
      <c r="CH15" s="3252">
        <v>176.55</v>
      </c>
      <c r="CI15" s="3252">
        <v>176.55</v>
      </c>
      <c r="CJ15" s="3252">
        <v>128.4</v>
      </c>
      <c r="CK15" s="3252">
        <v>128.4</v>
      </c>
      <c r="CL15" s="3252">
        <v>128.4</v>
      </c>
      <c r="CM15" s="3252">
        <v>485.06666666666666</v>
      </c>
      <c r="CN15" s="3252">
        <v>485.06666666666666</v>
      </c>
      <c r="CO15" s="3252">
        <v>485.06666666666666</v>
      </c>
    </row>
    <row r="16" spans="2:93" ht="16.5" x14ac:dyDescent="0.2">
      <c r="B16" s="3258" t="s">
        <v>1395</v>
      </c>
      <c r="C16" s="3259"/>
      <c r="D16" s="3260" t="s">
        <v>1058</v>
      </c>
      <c r="E16" s="3201">
        <v>337.78745000000004</v>
      </c>
      <c r="F16" s="3202">
        <v>365.30024999999995</v>
      </c>
      <c r="G16" s="3203">
        <v>665.48964999999998</v>
      </c>
      <c r="H16" s="3707">
        <v>337.78745000000004</v>
      </c>
      <c r="I16" s="3708">
        <v>359.35025000000002</v>
      </c>
      <c r="J16" s="3708">
        <v>359.35025000000002</v>
      </c>
      <c r="K16" s="3709">
        <v>665.48964999999998</v>
      </c>
      <c r="L16" s="3710">
        <v>359.35025000000002</v>
      </c>
      <c r="M16">
        <v>240.61799999999999</v>
      </c>
      <c r="N16">
        <v>343.58275000000003</v>
      </c>
      <c r="O16" s="3206">
        <v>653.58964999999989</v>
      </c>
      <c r="P16" s="3597">
        <v>192.78</v>
      </c>
      <c r="Q16" s="3598">
        <v>404.55240000000003</v>
      </c>
      <c r="R16" s="3599">
        <v>462.39383749999996</v>
      </c>
      <c r="S16" s="3707">
        <v>351.31477500000005</v>
      </c>
      <c r="T16" s="3709">
        <v>409.8672375000001</v>
      </c>
      <c r="U16">
        <v>468.41970000000003</v>
      </c>
      <c r="V16" s="3598">
        <v>400.58077500000002</v>
      </c>
      <c r="W16" s="3597">
        <v>489.59872499999994</v>
      </c>
      <c r="X16">
        <v>594.38060499999995</v>
      </c>
      <c r="Y16" s="3204">
        <v>400.58077500000002</v>
      </c>
      <c r="Z16" s="3202">
        <v>489.59872499999994</v>
      </c>
      <c r="AA16" s="3203">
        <v>578.61667499999999</v>
      </c>
      <c r="AB16">
        <v>246.410325</v>
      </c>
      <c r="AC16" s="3597">
        <v>301.16817500000002</v>
      </c>
      <c r="AD16" s="3599">
        <v>355.92602499999998</v>
      </c>
      <c r="AE16" s="3207"/>
      <c r="AF16" s="3204">
        <v>384.84600000000006</v>
      </c>
      <c r="AG16" s="3202">
        <v>454.81799999999998</v>
      </c>
      <c r="AH16" s="3203">
        <v>524.79000000000008</v>
      </c>
      <c r="AI16" s="3598">
        <v>398.84039999999999</v>
      </c>
      <c r="AJ16" s="3597">
        <v>481.93214999999998</v>
      </c>
      <c r="AK16">
        <v>565.02390000000003</v>
      </c>
      <c r="AL16" s="3208">
        <v>103.158125</v>
      </c>
      <c r="AM16" s="3202">
        <v>132.04239999999999</v>
      </c>
      <c r="AN16" s="3209">
        <v>165.053</v>
      </c>
      <c r="AO16" s="3598">
        <v>267.89458499999995</v>
      </c>
      <c r="AP16" s="3597">
        <v>312.54368249999999</v>
      </c>
      <c r="AQ16" s="3599">
        <v>357.19277999999997</v>
      </c>
      <c r="AR16" s="3205">
        <v>304.55669999999998</v>
      </c>
      <c r="AS16" s="3202">
        <v>350.24020500000006</v>
      </c>
      <c r="AT16" s="3203">
        <v>395.92371000000003</v>
      </c>
      <c r="AU16" s="3598">
        <v>274.10102999999998</v>
      </c>
      <c r="AV16" s="3597">
        <v>319.78453500000006</v>
      </c>
      <c r="AW16" s="3599">
        <v>365.46804000000003</v>
      </c>
      <c r="AX16" s="3204">
        <v>55.349280000000022</v>
      </c>
      <c r="AY16" s="3202">
        <v>69.186599999999999</v>
      </c>
      <c r="AZ16" s="3203">
        <v>83.023920000000089</v>
      </c>
      <c r="BA16" s="3205">
        <v>55.349280000000022</v>
      </c>
      <c r="BB16" s="3202">
        <v>69.186599999999999</v>
      </c>
      <c r="BC16" s="3203">
        <v>83.023920000000089</v>
      </c>
      <c r="BD16" s="3205">
        <v>37.645650000000018</v>
      </c>
      <c r="BE16" s="3202">
        <v>45.174779999999998</v>
      </c>
      <c r="BF16" s="3203">
        <v>52.703910000000064</v>
      </c>
      <c r="BG16" s="3205">
        <v>37.645650000000018</v>
      </c>
      <c r="BH16" s="3202">
        <v>45.174779999999998</v>
      </c>
      <c r="BI16" s="3203">
        <v>52.703910000000064</v>
      </c>
      <c r="BJ16" s="3209">
        <v>40.965750000000071</v>
      </c>
      <c r="BK16" s="3203">
        <v>50.069250000000011</v>
      </c>
      <c r="BL16" s="3203">
        <v>59.172750000000065</v>
      </c>
      <c r="BM16" s="3203">
        <v>45.517499999999927</v>
      </c>
      <c r="BN16" s="3203">
        <v>54.621000000000038</v>
      </c>
      <c r="BO16" s="3203">
        <v>63.724500000000035</v>
      </c>
      <c r="BP16" s="3206">
        <v>38.109750000000076</v>
      </c>
      <c r="BQ16" s="3206">
        <v>38.109750000000076</v>
      </c>
      <c r="BR16" s="3203">
        <v>18.822825000000009</v>
      </c>
      <c r="BS16" s="3203">
        <v>22.587389999999999</v>
      </c>
      <c r="BT16" s="3203">
        <v>26.351955000000032</v>
      </c>
      <c r="BU16" s="3203">
        <v>73.684799999999996</v>
      </c>
      <c r="BV16" s="3203">
        <v>83.125665000000026</v>
      </c>
      <c r="BW16" s="3203">
        <v>96.250770000000102</v>
      </c>
      <c r="BX16" s="3203">
        <v>36.628200000000049</v>
      </c>
      <c r="BY16" s="3203">
        <v>47.616660000000024</v>
      </c>
      <c r="BZ16" s="3203">
        <v>58.605119999999999</v>
      </c>
      <c r="CA16" s="3203">
        <v>55.349279999999965</v>
      </c>
      <c r="CB16" s="3203">
        <v>69.186599999999999</v>
      </c>
      <c r="CC16" s="3203">
        <v>83.023920000000089</v>
      </c>
      <c r="CD16" s="3203">
        <v>53.924849999999992</v>
      </c>
      <c r="CE16" s="3203">
        <v>70.102305000000001</v>
      </c>
      <c r="CF16" s="3203">
        <v>86.27976000000001</v>
      </c>
      <c r="CG16" s="3203">
        <v>67.151700000000062</v>
      </c>
      <c r="CH16" s="3203">
        <v>74.613000000000056</v>
      </c>
      <c r="CI16" s="3203">
        <v>82.074299999999994</v>
      </c>
      <c r="CJ16" s="3203">
        <v>53.924849999999992</v>
      </c>
      <c r="CK16" s="3203">
        <v>70.102305000000001</v>
      </c>
      <c r="CL16" s="3203">
        <v>86.27976000000001</v>
      </c>
      <c r="CM16" s="3203">
        <v>27.132000000000005</v>
      </c>
      <c r="CN16" s="3203">
        <v>35.271600000000035</v>
      </c>
      <c r="CO16" s="3203">
        <v>43.411199999999951</v>
      </c>
    </row>
    <row r="17" spans="2:93" ht="16.5" x14ac:dyDescent="0.2">
      <c r="B17" s="3261" t="s">
        <v>1396</v>
      </c>
      <c r="C17" s="3262"/>
      <c r="D17" s="3260" t="s">
        <v>1058</v>
      </c>
      <c r="E17" s="3201">
        <v>0</v>
      </c>
      <c r="F17" s="3202">
        <v>5.95</v>
      </c>
      <c r="G17" s="3203">
        <v>11.9</v>
      </c>
      <c r="H17" s="3707">
        <v>0</v>
      </c>
      <c r="I17" s="3708">
        <v>0</v>
      </c>
      <c r="J17" s="3708">
        <v>0</v>
      </c>
      <c r="K17" s="3709">
        <v>0</v>
      </c>
      <c r="L17" s="3710">
        <v>0</v>
      </c>
      <c r="M17">
        <v>0</v>
      </c>
      <c r="N17">
        <v>0</v>
      </c>
      <c r="O17" s="3206">
        <v>6.6759000000000004</v>
      </c>
      <c r="P17" s="3597">
        <v>0</v>
      </c>
      <c r="Q17" s="3598">
        <v>0</v>
      </c>
      <c r="R17" s="3599">
        <v>0</v>
      </c>
      <c r="S17" s="3707">
        <v>0</v>
      </c>
      <c r="T17" s="3709">
        <v>0</v>
      </c>
      <c r="U17">
        <v>0</v>
      </c>
      <c r="V17" s="3598">
        <v>0</v>
      </c>
      <c r="W17" s="3597">
        <v>0</v>
      </c>
      <c r="X17">
        <v>0</v>
      </c>
      <c r="Y17" s="3204">
        <v>0</v>
      </c>
      <c r="Z17" s="3202">
        <v>0</v>
      </c>
      <c r="AA17" s="3203">
        <v>0</v>
      </c>
      <c r="AB17">
        <v>0</v>
      </c>
      <c r="AC17" s="3597">
        <v>0</v>
      </c>
      <c r="AD17" s="3599">
        <v>0</v>
      </c>
      <c r="AE17" s="3207"/>
      <c r="AF17" s="3204">
        <v>84.585200000000015</v>
      </c>
      <c r="AG17" s="3202">
        <v>84.585200000000015</v>
      </c>
      <c r="AH17" s="3203">
        <v>84.585200000000015</v>
      </c>
      <c r="AI17" s="3598">
        <v>84.585200000000015</v>
      </c>
      <c r="AJ17" s="3597">
        <v>84.585200000000015</v>
      </c>
      <c r="AK17">
        <v>84.585200000000015</v>
      </c>
      <c r="AL17" s="3208">
        <v>0</v>
      </c>
      <c r="AM17" s="3202">
        <v>0</v>
      </c>
      <c r="AN17" s="3209">
        <v>0</v>
      </c>
      <c r="AO17" s="3598">
        <v>45.517500000000005</v>
      </c>
      <c r="AP17" s="3597">
        <v>91.035000000000011</v>
      </c>
      <c r="AQ17" s="3599">
        <v>101.15</v>
      </c>
      <c r="AR17" s="3205">
        <v>84.585200000000015</v>
      </c>
      <c r="AS17" s="3202">
        <v>84.585200000000015</v>
      </c>
      <c r="AT17" s="3203">
        <v>84.585200000000015</v>
      </c>
      <c r="AU17" s="3598">
        <v>84.585200000000015</v>
      </c>
      <c r="AV17" s="3597">
        <v>84.585200000000015</v>
      </c>
      <c r="AW17" s="3599">
        <v>84.585200000000015</v>
      </c>
      <c r="AX17" s="3204">
        <v>84.585200000000015</v>
      </c>
      <c r="AY17" s="3202">
        <v>84.585200000000015</v>
      </c>
      <c r="AZ17" s="3203">
        <v>84.585200000000015</v>
      </c>
      <c r="BA17" s="3205">
        <v>84.585200000000015</v>
      </c>
      <c r="BB17" s="3202">
        <v>84.585200000000015</v>
      </c>
      <c r="BC17" s="3203">
        <v>84.585200000000015</v>
      </c>
      <c r="BD17" s="3205">
        <v>45.517500000000005</v>
      </c>
      <c r="BE17" s="3202">
        <v>91.035000000000011</v>
      </c>
      <c r="BF17" s="3203">
        <v>101.15</v>
      </c>
      <c r="BG17" s="3205">
        <v>45.517500000000005</v>
      </c>
      <c r="BH17" s="3202">
        <v>70.804999999999993</v>
      </c>
      <c r="BI17" s="3203">
        <v>91.035000000000011</v>
      </c>
      <c r="BJ17" s="3209">
        <v>0</v>
      </c>
      <c r="BK17" s="3203">
        <v>0</v>
      </c>
      <c r="BL17" s="3203">
        <v>0</v>
      </c>
      <c r="BM17" s="3203">
        <v>0</v>
      </c>
      <c r="BN17" s="3203">
        <v>0</v>
      </c>
      <c r="BO17" s="3203">
        <v>0</v>
      </c>
      <c r="BP17" s="3206">
        <v>0</v>
      </c>
      <c r="BQ17" s="3206">
        <v>0</v>
      </c>
      <c r="BR17" s="3203">
        <v>0</v>
      </c>
      <c r="BS17" s="3203">
        <v>0</v>
      </c>
      <c r="BT17" s="3203">
        <v>0</v>
      </c>
      <c r="BU17" s="3203">
        <v>87.732749999999996</v>
      </c>
      <c r="BV17" s="3203">
        <v>87.732749999999996</v>
      </c>
      <c r="BW17" s="3203">
        <v>87.732749999999996</v>
      </c>
      <c r="BX17" s="3203">
        <v>35.997499999999995</v>
      </c>
      <c r="BY17" s="3203">
        <v>35.997499999999995</v>
      </c>
      <c r="BZ17" s="3203">
        <v>35.997499999999995</v>
      </c>
      <c r="CA17" s="3203">
        <v>95.2</v>
      </c>
      <c r="CB17" s="3203">
        <v>95.2</v>
      </c>
      <c r="CC17" s="3203">
        <v>95.2</v>
      </c>
      <c r="CD17" s="3203">
        <v>35.997499999999995</v>
      </c>
      <c r="CE17" s="3203">
        <v>35.997499999999995</v>
      </c>
      <c r="CF17" s="3203">
        <v>35.997499999999995</v>
      </c>
      <c r="CG17" s="3203">
        <v>81.515000000000001</v>
      </c>
      <c r="CH17" s="3203">
        <v>127.0325</v>
      </c>
      <c r="CI17" s="3203">
        <v>137.14750000000001</v>
      </c>
      <c r="CJ17" s="3203">
        <v>35.997499999999995</v>
      </c>
      <c r="CK17" s="3203">
        <v>35.997499999999995</v>
      </c>
      <c r="CL17" s="3203">
        <v>35.997499999999995</v>
      </c>
      <c r="CM17" s="3203">
        <v>4.9515900000000004</v>
      </c>
      <c r="CN17" s="3203">
        <v>4.9515900000000004</v>
      </c>
      <c r="CO17" s="3203">
        <v>4.9515900000000004</v>
      </c>
    </row>
    <row r="18" spans="2:93" ht="16.5" x14ac:dyDescent="0.2">
      <c r="B18" s="3261" t="s">
        <v>1397</v>
      </c>
      <c r="C18" s="3262"/>
      <c r="D18" s="3260" t="s">
        <v>1058</v>
      </c>
      <c r="E18" s="3201">
        <v>130.88870689383998</v>
      </c>
      <c r="F18" s="3202">
        <v>138.17599468134</v>
      </c>
      <c r="G18" s="3203">
        <v>195.534738049</v>
      </c>
      <c r="H18" s="3707">
        <v>170.5195611007361</v>
      </c>
      <c r="I18" s="3708">
        <v>91.460719476839998</v>
      </c>
      <c r="J18" s="3708">
        <v>176.16662121672869</v>
      </c>
      <c r="K18" s="3709">
        <v>255.62470159863676</v>
      </c>
      <c r="L18" s="3710">
        <v>118.12234323203998</v>
      </c>
      <c r="M18">
        <v>102.49294862167372</v>
      </c>
      <c r="N18">
        <v>166.95732385893211</v>
      </c>
      <c r="O18" s="3206">
        <v>267.9976030144</v>
      </c>
      <c r="P18" s="3597">
        <v>31.087350694399994</v>
      </c>
      <c r="Q18" s="3598">
        <v>48.9276603032</v>
      </c>
      <c r="R18" s="3599">
        <v>48.9276603032</v>
      </c>
      <c r="S18" s="3707">
        <v>214.32751323707504</v>
      </c>
      <c r="T18" s="3709">
        <v>238.9221095198875</v>
      </c>
      <c r="U18">
        <v>263.51670580270002</v>
      </c>
      <c r="V18" s="3598">
        <v>214.32751323707504</v>
      </c>
      <c r="W18" s="3597">
        <v>247.12030828082499</v>
      </c>
      <c r="X18">
        <v>284.40053843582501</v>
      </c>
      <c r="Y18" s="3204">
        <v>271.31098547911284</v>
      </c>
      <c r="Z18" s="3202">
        <v>310.05147905022682</v>
      </c>
      <c r="AA18" s="3203">
        <v>348.79197262134079</v>
      </c>
      <c r="AB18">
        <v>232.80258562054945</v>
      </c>
      <c r="AC18" s="3597">
        <v>249.37758060551602</v>
      </c>
      <c r="AD18" s="3599">
        <v>288.81636875248256</v>
      </c>
      <c r="AE18" s="3207"/>
      <c r="AF18" s="3204">
        <v>195.45434259586668</v>
      </c>
      <c r="AG18" s="3202">
        <v>206.9020914814424</v>
      </c>
      <c r="AH18" s="3203">
        <v>195.41261019101819</v>
      </c>
      <c r="AI18" s="3598">
        <v>169.11219613298181</v>
      </c>
      <c r="AJ18" s="3597">
        <v>182.70639793460299</v>
      </c>
      <c r="AK18">
        <v>196.3005997362242</v>
      </c>
      <c r="AL18" s="3208">
        <v>99.166427080000005</v>
      </c>
      <c r="AM18" s="3202">
        <v>105.794023552</v>
      </c>
      <c r="AN18" s="3209">
        <v>112.42162002400002</v>
      </c>
      <c r="AO18" s="3598">
        <v>188.29883315561497</v>
      </c>
      <c r="AP18" s="3597">
        <v>195.0279630474175</v>
      </c>
      <c r="AQ18" s="3599">
        <v>201.75709293922</v>
      </c>
      <c r="AR18" s="3205">
        <v>138.36838590469998</v>
      </c>
      <c r="AS18" s="3202">
        <v>143.54463966762498</v>
      </c>
      <c r="AT18" s="3203">
        <v>148.72089343055001</v>
      </c>
      <c r="AU18" s="3598">
        <v>129.4948080254</v>
      </c>
      <c r="AV18" s="3597">
        <v>133.76727144876665</v>
      </c>
      <c r="AW18" s="3599">
        <v>138.03973487213332</v>
      </c>
      <c r="AX18" s="3204">
        <v>148.06104019279999</v>
      </c>
      <c r="AY18" s="3202">
        <v>148.06104019279999</v>
      </c>
      <c r="AZ18" s="3203">
        <v>148.06104019279999</v>
      </c>
      <c r="BA18" s="3205">
        <v>213.31320884058181</v>
      </c>
      <c r="BB18" s="3202">
        <v>229.74818869112727</v>
      </c>
      <c r="BC18" s="3203">
        <v>245.9392931644727</v>
      </c>
      <c r="BD18" s="3205">
        <v>141.7747360736</v>
      </c>
      <c r="BE18" s="3202">
        <v>141.7747360736</v>
      </c>
      <c r="BF18" s="3203">
        <v>141.7747360736</v>
      </c>
      <c r="BG18" s="3205">
        <v>193.04429715399999</v>
      </c>
      <c r="BH18" s="3202">
        <v>203.29820937007997</v>
      </c>
      <c r="BI18" s="3203">
        <v>213.55212158616001</v>
      </c>
      <c r="BJ18" s="3209">
        <v>149.4011383312</v>
      </c>
      <c r="BK18" s="3203">
        <v>149.4011383312</v>
      </c>
      <c r="BL18" s="3203">
        <v>149.4011383312</v>
      </c>
      <c r="BM18" s="3203">
        <v>308.63279911483374</v>
      </c>
      <c r="BN18" s="3203">
        <v>325.72576269308047</v>
      </c>
      <c r="BO18" s="3203">
        <v>342.81872627132725</v>
      </c>
      <c r="BP18" s="3206">
        <v>25.79201900324</v>
      </c>
      <c r="BQ18" s="3206">
        <v>146.99050716522888</v>
      </c>
      <c r="BR18" s="3203">
        <v>173.59883920988</v>
      </c>
      <c r="BS18" s="3203">
        <v>180.776577761136</v>
      </c>
      <c r="BT18" s="3203">
        <v>187.954316312392</v>
      </c>
      <c r="BU18" s="3203">
        <v>285.06960566325154</v>
      </c>
      <c r="BV18" s="3203">
        <v>297.56057682630319</v>
      </c>
      <c r="BW18" s="3203">
        <v>314.92607332127739</v>
      </c>
      <c r="BX18" s="3203">
        <v>205.86168742409998</v>
      </c>
      <c r="BY18" s="3203">
        <v>225.08777282924999</v>
      </c>
      <c r="BZ18" s="3203">
        <v>244.31385823439999</v>
      </c>
      <c r="CA18" s="3203">
        <v>205.48294860284798</v>
      </c>
      <c r="CB18" s="3203">
        <v>219.83842570536001</v>
      </c>
      <c r="CC18" s="3203">
        <v>234.19390280787198</v>
      </c>
      <c r="CD18" s="3203">
        <v>205.86168742409998</v>
      </c>
      <c r="CE18" s="3203">
        <v>225.08777282924999</v>
      </c>
      <c r="CF18" s="3203">
        <v>244.31385823439999</v>
      </c>
      <c r="CG18" s="3203">
        <v>289.5503634954452</v>
      </c>
      <c r="CH18" s="3203">
        <v>301.12736115876135</v>
      </c>
      <c r="CI18" s="3203">
        <v>312.70435882207744</v>
      </c>
      <c r="CJ18" s="3203">
        <v>205.86168742409998</v>
      </c>
      <c r="CK18" s="3203">
        <v>225.08777282924999</v>
      </c>
      <c r="CL18" s="3203">
        <v>244.31385823439999</v>
      </c>
      <c r="CM18" s="3203">
        <v>76.827368971246671</v>
      </c>
      <c r="CN18" s="3203">
        <v>96.053454376396658</v>
      </c>
      <c r="CO18" s="3203">
        <v>115.27953978154667</v>
      </c>
    </row>
    <row r="19" spans="2:93" ht="16.5" x14ac:dyDescent="0.2">
      <c r="B19" s="3261" t="s">
        <v>1398</v>
      </c>
      <c r="C19" s="3262"/>
      <c r="D19" s="3260" t="s">
        <v>1058</v>
      </c>
      <c r="E19" s="3201">
        <v>0</v>
      </c>
      <c r="F19" s="3202">
        <v>16.243500000000001</v>
      </c>
      <c r="G19" s="3203">
        <v>16.243500000000001</v>
      </c>
      <c r="H19" s="3707">
        <v>16.243500000000001</v>
      </c>
      <c r="I19" s="3708">
        <v>355.39349999999996</v>
      </c>
      <c r="J19" s="3708">
        <v>11.602500000000001</v>
      </c>
      <c r="K19" s="3709">
        <v>16.243500000000001</v>
      </c>
      <c r="L19" s="3710">
        <v>533.04349999999999</v>
      </c>
      <c r="M19">
        <v>151.77688953488374</v>
      </c>
      <c r="N19">
        <v>189.72111191860463</v>
      </c>
      <c r="O19" s="3206">
        <v>1879.0533333333335</v>
      </c>
      <c r="P19" s="3597">
        <v>0</v>
      </c>
      <c r="Q19" s="3598">
        <v>12.375999999999999</v>
      </c>
      <c r="R19" s="3599">
        <v>12.375999999999999</v>
      </c>
      <c r="S19" s="3707">
        <v>0</v>
      </c>
      <c r="T19" s="3709">
        <v>0</v>
      </c>
      <c r="U19">
        <v>0</v>
      </c>
      <c r="V19" s="3598">
        <v>0</v>
      </c>
      <c r="W19" s="3597">
        <v>0</v>
      </c>
      <c r="X19">
        <v>0</v>
      </c>
      <c r="Y19" s="3204">
        <v>0</v>
      </c>
      <c r="Z19" s="3202">
        <v>0</v>
      </c>
      <c r="AA19" s="3203">
        <v>0</v>
      </c>
      <c r="AB19">
        <v>271.32</v>
      </c>
      <c r="AC19" s="3597">
        <v>285.60000000000002</v>
      </c>
      <c r="AD19" s="3599">
        <v>299.88000000000005</v>
      </c>
      <c r="AE19" s="3207"/>
      <c r="AF19" s="3204">
        <v>258.82500000000005</v>
      </c>
      <c r="AG19" s="3202">
        <v>279.64999999999998</v>
      </c>
      <c r="AH19" s="3203">
        <v>300.47500000000002</v>
      </c>
      <c r="AI19" s="3598">
        <v>258.82500000000005</v>
      </c>
      <c r="AJ19" s="3597">
        <v>279.64999999999998</v>
      </c>
      <c r="AK19">
        <v>300.47500000000002</v>
      </c>
      <c r="AL19" s="3208">
        <v>0</v>
      </c>
      <c r="AM19" s="3202">
        <v>0</v>
      </c>
      <c r="AN19" s="3209">
        <v>0</v>
      </c>
      <c r="AO19" s="3598">
        <v>166.005</v>
      </c>
      <c r="AP19" s="3597">
        <v>184.45</v>
      </c>
      <c r="AQ19" s="3599">
        <v>202.89500000000001</v>
      </c>
      <c r="AR19" s="3205">
        <v>258.82500000000005</v>
      </c>
      <c r="AS19" s="3202">
        <v>279.64999999999998</v>
      </c>
      <c r="AT19" s="3203">
        <v>300.47500000000002</v>
      </c>
      <c r="AU19" s="3598">
        <v>328.44000000000005</v>
      </c>
      <c r="AV19" s="3597">
        <v>357</v>
      </c>
      <c r="AW19" s="3599">
        <v>385.56000000000006</v>
      </c>
      <c r="AX19" s="3204">
        <v>105.75313636363636</v>
      </c>
      <c r="AY19" s="3202">
        <v>132.19142045454547</v>
      </c>
      <c r="AZ19" s="3203">
        <v>158.62970454545456</v>
      </c>
      <c r="BA19" s="3205">
        <v>293.17813636363638</v>
      </c>
      <c r="BB19" s="3202">
        <v>340.44142045454544</v>
      </c>
      <c r="BC19" s="3203">
        <v>387.70470454545455</v>
      </c>
      <c r="BD19" s="3205">
        <v>89.739090000000019</v>
      </c>
      <c r="BE19" s="3202">
        <v>107.686908</v>
      </c>
      <c r="BF19" s="3203">
        <v>125.63472600000001</v>
      </c>
      <c r="BG19" s="3205">
        <v>255.74409000000003</v>
      </c>
      <c r="BH19" s="3202">
        <v>292.13690800000001</v>
      </c>
      <c r="BI19" s="3203">
        <v>328.52972600000004</v>
      </c>
      <c r="BJ19" s="3209">
        <v>81.691060500000006</v>
      </c>
      <c r="BK19" s="3203">
        <v>99.844629499999996</v>
      </c>
      <c r="BL19" s="3203">
        <v>117.99819850000002</v>
      </c>
      <c r="BM19" s="3203">
        <v>267.1648546875</v>
      </c>
      <c r="BN19" s="3203">
        <v>304.41382562500002</v>
      </c>
      <c r="BO19" s="3203">
        <v>341.66279656250003</v>
      </c>
      <c r="BP19" s="3206">
        <v>73.820757499999999</v>
      </c>
      <c r="BQ19" s="3206">
        <v>234.47075749999999</v>
      </c>
      <c r="BR19" s="3203">
        <v>214.90739550000001</v>
      </c>
      <c r="BS19" s="3203">
        <v>244.08487460000003</v>
      </c>
      <c r="BT19" s="3203">
        <v>273.26235370000006</v>
      </c>
      <c r="BU19" s="3203">
        <v>496.65840000000003</v>
      </c>
      <c r="BV19" s="3203">
        <v>554.46175749999998</v>
      </c>
      <c r="BW19" s="3203">
        <v>619.96203500000001</v>
      </c>
      <c r="BX19" s="3203">
        <v>490.50015000000002</v>
      </c>
      <c r="BY19" s="3203">
        <v>566.84519499999999</v>
      </c>
      <c r="BZ19" s="3203">
        <v>643.19024000000002</v>
      </c>
      <c r="CA19" s="3203">
        <v>271.56218880000006</v>
      </c>
      <c r="CB19" s="3203">
        <v>314.16523599999999</v>
      </c>
      <c r="CC19" s="3203">
        <v>356.76828320000004</v>
      </c>
      <c r="CD19" s="3203">
        <v>303.07515000000001</v>
      </c>
      <c r="CE19" s="3203">
        <v>358.59519499999999</v>
      </c>
      <c r="CF19" s="3203">
        <v>414.11523999999997</v>
      </c>
      <c r="CG19" s="3203">
        <v>532.90818000000002</v>
      </c>
      <c r="CH19" s="3203">
        <v>592.12019999999995</v>
      </c>
      <c r="CI19" s="3203">
        <v>651.33222000000001</v>
      </c>
      <c r="CJ19" s="3203">
        <v>303.07515000000001</v>
      </c>
      <c r="CK19" s="3203">
        <v>358.59519499999999</v>
      </c>
      <c r="CL19" s="3203">
        <v>414.11523999999997</v>
      </c>
      <c r="CM19" s="3203">
        <v>292.56150000000002</v>
      </c>
      <c r="CN19" s="3203">
        <v>344.92745000000002</v>
      </c>
      <c r="CO19" s="3203">
        <v>397.29340000000002</v>
      </c>
    </row>
    <row r="20" spans="2:93" ht="16.5" x14ac:dyDescent="0.2">
      <c r="B20" s="3261" t="s">
        <v>1399</v>
      </c>
      <c r="C20" s="3262"/>
      <c r="D20" s="3260" t="s">
        <v>1058</v>
      </c>
      <c r="E20" s="3201">
        <v>0</v>
      </c>
      <c r="F20" s="3202">
        <v>0</v>
      </c>
      <c r="G20" s="3203">
        <v>0</v>
      </c>
      <c r="H20" s="3707">
        <v>35.700000000000003</v>
      </c>
      <c r="I20" s="3708">
        <v>35.700000000000003</v>
      </c>
      <c r="J20" s="3708">
        <v>14.28</v>
      </c>
      <c r="K20" s="3709">
        <v>35.700000000000003</v>
      </c>
      <c r="L20" s="3710">
        <v>0</v>
      </c>
      <c r="M20">
        <v>0</v>
      </c>
      <c r="N20">
        <v>0</v>
      </c>
      <c r="O20" s="3206">
        <v>0</v>
      </c>
      <c r="P20" s="3597">
        <v>83.3</v>
      </c>
      <c r="Q20" s="3598">
        <v>83.3</v>
      </c>
      <c r="R20" s="3599">
        <v>65.45</v>
      </c>
      <c r="S20" s="3707">
        <v>0</v>
      </c>
      <c r="T20" s="3709">
        <v>0</v>
      </c>
      <c r="U20">
        <v>0</v>
      </c>
      <c r="V20" s="3598">
        <v>0</v>
      </c>
      <c r="W20" s="3597">
        <v>0</v>
      </c>
      <c r="X20">
        <v>0</v>
      </c>
      <c r="Y20" s="3204">
        <v>35.700000000000003</v>
      </c>
      <c r="Z20" s="3202">
        <v>35.700000000000003</v>
      </c>
      <c r="AA20" s="3203">
        <v>35.700000000000003</v>
      </c>
      <c r="AB20">
        <v>35.700000000000003</v>
      </c>
      <c r="AC20" s="3597">
        <v>35.700000000000003</v>
      </c>
      <c r="AD20" s="3599">
        <v>35.700000000000003</v>
      </c>
      <c r="AE20" s="3207"/>
      <c r="AF20" s="3204">
        <v>22.872960000000006</v>
      </c>
      <c r="AG20" s="3202">
        <v>27.454049999999999</v>
      </c>
      <c r="AH20" s="3203">
        <v>31.67775</v>
      </c>
      <c r="AI20" s="3598">
        <v>76.005356000000006</v>
      </c>
      <c r="AJ20" s="3597">
        <v>81.641071400000001</v>
      </c>
      <c r="AK20">
        <v>86.894704400000009</v>
      </c>
      <c r="AL20" s="3208">
        <v>0</v>
      </c>
      <c r="AM20" s="3202">
        <v>0</v>
      </c>
      <c r="AN20" s="3209">
        <v>0</v>
      </c>
      <c r="AO20" s="3598">
        <v>61.861604</v>
      </c>
      <c r="AP20" s="3597">
        <v>63.858599000000005</v>
      </c>
      <c r="AQ20" s="3599">
        <v>65.671256</v>
      </c>
      <c r="AR20" s="3205">
        <v>81.483360000000005</v>
      </c>
      <c r="AS20" s="3202">
        <v>86.030364000000006</v>
      </c>
      <c r="AT20" s="3203">
        <v>90.577368000000007</v>
      </c>
      <c r="AU20" s="3598">
        <v>117.03275600000001</v>
      </c>
      <c r="AV20" s="3597">
        <v>128.009882</v>
      </c>
      <c r="AW20" s="3599">
        <v>138.987008</v>
      </c>
      <c r="AX20" s="3204">
        <v>18.232703999999998</v>
      </c>
      <c r="AY20" s="3202">
        <v>22.790880000000001</v>
      </c>
      <c r="AZ20" s="3203">
        <v>27.349056000000001</v>
      </c>
      <c r="BA20" s="3205">
        <v>69.402704</v>
      </c>
      <c r="BB20" s="3202">
        <v>73.960880000000003</v>
      </c>
      <c r="BC20" s="3203">
        <v>78.519056000000006</v>
      </c>
      <c r="BD20" s="3205">
        <v>10.054799999999998</v>
      </c>
      <c r="BE20" s="3202">
        <v>12.065759999999997</v>
      </c>
      <c r="BF20" s="3203">
        <v>14.076719999999998</v>
      </c>
      <c r="BG20" s="3205">
        <v>61.224800000000002</v>
      </c>
      <c r="BH20" s="3202">
        <v>63.235759999999999</v>
      </c>
      <c r="BI20" s="3203">
        <v>65.246719999999996</v>
      </c>
      <c r="BJ20" s="3209">
        <v>0</v>
      </c>
      <c r="BK20" s="3203">
        <v>0</v>
      </c>
      <c r="BL20" s="3203">
        <v>0</v>
      </c>
      <c r="BM20" s="3203">
        <v>35.700000000000003</v>
      </c>
      <c r="BN20" s="3203">
        <v>35.700000000000003</v>
      </c>
      <c r="BO20" s="3203">
        <v>35.700000000000003</v>
      </c>
      <c r="BP20" s="3206">
        <v>0</v>
      </c>
      <c r="BQ20" s="3206">
        <v>35.700000000000003</v>
      </c>
      <c r="BR20" s="3203">
        <v>56.166192500000001</v>
      </c>
      <c r="BS20" s="3203">
        <v>57.165430999999998</v>
      </c>
      <c r="BT20" s="3203">
        <v>58.164669500000002</v>
      </c>
      <c r="BU20" s="3203">
        <v>88.579599999999999</v>
      </c>
      <c r="BV20" s="3203">
        <v>90.810204999999996</v>
      </c>
      <c r="BW20" s="3203">
        <v>93.911290000000008</v>
      </c>
      <c r="BX20" s="3203">
        <v>62.302099999999996</v>
      </c>
      <c r="BY20" s="3203">
        <v>65.641729999999995</v>
      </c>
      <c r="BZ20" s="3203">
        <v>68.981359999999995</v>
      </c>
      <c r="CA20" s="3203">
        <v>62.620159999999998</v>
      </c>
      <c r="CB20" s="3203">
        <v>65.482699999999994</v>
      </c>
      <c r="CC20" s="3203">
        <v>68.345240000000004</v>
      </c>
      <c r="CD20" s="3203">
        <v>65.270659999999992</v>
      </c>
      <c r="CE20" s="3203">
        <v>69.500857999999994</v>
      </c>
      <c r="CF20" s="3203">
        <v>73.731055999999995</v>
      </c>
      <c r="CG20" s="3203">
        <v>76.102732000000003</v>
      </c>
      <c r="CH20" s="3203">
        <v>77.947479999999999</v>
      </c>
      <c r="CI20" s="3203">
        <v>79.792227999999994</v>
      </c>
      <c r="CJ20" s="3203">
        <v>65.270659999999992</v>
      </c>
      <c r="CK20" s="3203">
        <v>69.500857999999994</v>
      </c>
      <c r="CL20" s="3203">
        <v>73.731055999999995</v>
      </c>
      <c r="CM20" s="3203">
        <v>58.273340000000005</v>
      </c>
      <c r="CN20" s="3203">
        <v>60.404342</v>
      </c>
      <c r="CO20" s="3203">
        <v>62.535344000000002</v>
      </c>
    </row>
    <row r="21" spans="2:93" ht="16.5" x14ac:dyDescent="0.2">
      <c r="B21" s="3263" t="s">
        <v>1400</v>
      </c>
      <c r="C21" s="3264"/>
      <c r="D21" s="3265" t="s">
        <v>1058</v>
      </c>
      <c r="E21" s="3266">
        <v>0</v>
      </c>
      <c r="F21" s="3267">
        <v>0</v>
      </c>
      <c r="G21" s="3268">
        <v>0</v>
      </c>
      <c r="H21" s="3723">
        <v>0</v>
      </c>
      <c r="I21" s="3724">
        <v>0</v>
      </c>
      <c r="J21" s="3724">
        <v>0</v>
      </c>
      <c r="K21" s="3725">
        <v>0</v>
      </c>
      <c r="L21" s="3726">
        <v>0</v>
      </c>
      <c r="M21">
        <v>0</v>
      </c>
      <c r="N21">
        <v>0</v>
      </c>
      <c r="O21" s="3271">
        <v>0</v>
      </c>
      <c r="P21" s="3611">
        <v>0</v>
      </c>
      <c r="Q21" s="3612">
        <v>0</v>
      </c>
      <c r="R21" s="3613">
        <v>0</v>
      </c>
      <c r="S21" s="3723">
        <v>0</v>
      </c>
      <c r="T21" s="3725">
        <v>0</v>
      </c>
      <c r="U21">
        <v>0</v>
      </c>
      <c r="V21" s="3612">
        <v>0</v>
      </c>
      <c r="W21" s="3611">
        <v>0</v>
      </c>
      <c r="X21">
        <v>0</v>
      </c>
      <c r="Y21" s="3269">
        <v>0</v>
      </c>
      <c r="Z21" s="3267">
        <v>0</v>
      </c>
      <c r="AA21" s="3268">
        <v>0</v>
      </c>
      <c r="AB21">
        <v>0</v>
      </c>
      <c r="AC21" s="3611">
        <v>0</v>
      </c>
      <c r="AD21" s="3613">
        <v>0</v>
      </c>
      <c r="AE21" s="3207"/>
      <c r="AF21" s="3269">
        <v>0</v>
      </c>
      <c r="AG21" s="3267">
        <v>0</v>
      </c>
      <c r="AH21" s="3268">
        <v>0</v>
      </c>
      <c r="AI21" s="3612">
        <v>0</v>
      </c>
      <c r="AJ21" s="3611">
        <v>0</v>
      </c>
      <c r="AK21">
        <v>0</v>
      </c>
      <c r="AL21" s="3272">
        <v>0</v>
      </c>
      <c r="AM21" s="3267">
        <v>0</v>
      </c>
      <c r="AN21" s="3273">
        <v>0</v>
      </c>
      <c r="AO21" s="3612">
        <v>0</v>
      </c>
      <c r="AP21" s="3611">
        <v>0</v>
      </c>
      <c r="AQ21" s="3613">
        <v>0</v>
      </c>
      <c r="AR21" s="3270">
        <v>0</v>
      </c>
      <c r="AS21" s="3267">
        <v>0</v>
      </c>
      <c r="AT21" s="3268">
        <v>0</v>
      </c>
      <c r="AU21" s="3612">
        <v>0</v>
      </c>
      <c r="AV21" s="3611">
        <v>0</v>
      </c>
      <c r="AW21" s="3613">
        <v>0</v>
      </c>
      <c r="AX21" s="3269">
        <v>0</v>
      </c>
      <c r="AY21" s="3267">
        <v>0</v>
      </c>
      <c r="AZ21" s="3268">
        <v>0</v>
      </c>
      <c r="BA21" s="3270">
        <v>0</v>
      </c>
      <c r="BB21" s="3267">
        <v>0</v>
      </c>
      <c r="BC21" s="3268">
        <v>0</v>
      </c>
      <c r="BD21" s="3270">
        <v>0</v>
      </c>
      <c r="BE21" s="3267">
        <v>0</v>
      </c>
      <c r="BF21" s="3268">
        <v>0</v>
      </c>
      <c r="BG21" s="3270">
        <v>0</v>
      </c>
      <c r="BH21" s="3267">
        <v>0</v>
      </c>
      <c r="BI21" s="3268">
        <v>0</v>
      </c>
      <c r="BJ21" s="3273">
        <v>0</v>
      </c>
      <c r="BK21" s="3268">
        <v>0</v>
      </c>
      <c r="BL21" s="3268">
        <v>0</v>
      </c>
      <c r="BM21" s="3268">
        <v>0</v>
      </c>
      <c r="BN21" s="3268">
        <v>0</v>
      </c>
      <c r="BO21" s="3268">
        <v>0</v>
      </c>
      <c r="BP21" s="3271">
        <v>0</v>
      </c>
      <c r="BQ21" s="3271">
        <v>0</v>
      </c>
      <c r="BR21" s="3268">
        <v>0</v>
      </c>
      <c r="BS21" s="3268">
        <v>0</v>
      </c>
      <c r="BT21" s="3268">
        <v>0</v>
      </c>
      <c r="BU21" s="3268">
        <v>0</v>
      </c>
      <c r="BV21" s="3268">
        <v>0</v>
      </c>
      <c r="BW21" s="3268">
        <v>0</v>
      </c>
      <c r="BX21" s="3268">
        <v>0</v>
      </c>
      <c r="BY21" s="3268">
        <v>0</v>
      </c>
      <c r="BZ21" s="3268">
        <v>0</v>
      </c>
      <c r="CA21" s="3268">
        <v>0</v>
      </c>
      <c r="CB21" s="3268">
        <v>0</v>
      </c>
      <c r="CC21" s="3268">
        <v>0</v>
      </c>
      <c r="CD21" s="3268">
        <v>0</v>
      </c>
      <c r="CE21" s="3268">
        <v>0</v>
      </c>
      <c r="CF21" s="3268">
        <v>0</v>
      </c>
      <c r="CG21" s="3268">
        <v>0</v>
      </c>
      <c r="CH21" s="3268">
        <v>0</v>
      </c>
      <c r="CI21" s="3268">
        <v>0</v>
      </c>
      <c r="CJ21" s="3268">
        <v>0</v>
      </c>
      <c r="CK21" s="3268">
        <v>0</v>
      </c>
      <c r="CL21" s="3268">
        <v>0</v>
      </c>
      <c r="CM21" s="3268">
        <v>18</v>
      </c>
      <c r="CN21" s="3268">
        <v>18</v>
      </c>
      <c r="CO21" s="3268">
        <v>18</v>
      </c>
    </row>
    <row r="22" spans="2:93" ht="16.5" x14ac:dyDescent="0.2">
      <c r="B22" s="3274" t="s">
        <v>105</v>
      </c>
      <c r="C22" s="3275"/>
      <c r="D22" s="3276" t="s">
        <v>1058</v>
      </c>
      <c r="E22" s="3277">
        <v>468.67615689384002</v>
      </c>
      <c r="F22" s="3278">
        <v>541.71974468133999</v>
      </c>
      <c r="G22" s="3279">
        <v>905.21788804899995</v>
      </c>
      <c r="H22" s="3727">
        <v>576.30051110073623</v>
      </c>
      <c r="I22" s="3728">
        <v>857.9544694768399</v>
      </c>
      <c r="J22" s="3728">
        <v>598.86937121672872</v>
      </c>
      <c r="K22" s="3729">
        <v>989.10785159863678</v>
      </c>
      <c r="L22" s="3730">
        <v>1026.56609323204</v>
      </c>
      <c r="M22">
        <v>494.88783815655745</v>
      </c>
      <c r="N22">
        <v>700.26118577753675</v>
      </c>
      <c r="O22" s="3282">
        <v>2823.3664863477334</v>
      </c>
      <c r="P22" s="3614">
        <v>307.1673506944</v>
      </c>
      <c r="Q22" s="3615">
        <v>568.41606030319997</v>
      </c>
      <c r="R22" s="3616">
        <v>608.40749780319993</v>
      </c>
      <c r="S22" s="3727">
        <v>628.23728823707506</v>
      </c>
      <c r="T22" s="3729">
        <v>711.38434701988763</v>
      </c>
      <c r="U22">
        <v>794.53140580270008</v>
      </c>
      <c r="V22" s="3615">
        <v>667.87328823707503</v>
      </c>
      <c r="W22" s="3614">
        <v>789.68403328082491</v>
      </c>
      <c r="X22">
        <v>931.74614343582493</v>
      </c>
      <c r="Y22" s="3280">
        <v>760.55676047911288</v>
      </c>
      <c r="Z22" s="3278">
        <v>888.31520405022684</v>
      </c>
      <c r="AA22" s="3279">
        <v>1016.0736476213408</v>
      </c>
      <c r="AB22">
        <v>850.43291062054936</v>
      </c>
      <c r="AC22" s="3614">
        <v>936.04575560551609</v>
      </c>
      <c r="AD22" s="3616">
        <v>1045.8063937524826</v>
      </c>
      <c r="AE22" s="3222"/>
      <c r="AF22" s="3280">
        <v>1163.7935025958668</v>
      </c>
      <c r="AG22" s="3278">
        <v>1270.6193414814425</v>
      </c>
      <c r="AH22" s="3279">
        <v>1354.150560191018</v>
      </c>
      <c r="AI22" s="3615">
        <v>1157.4981521329819</v>
      </c>
      <c r="AJ22" s="3614">
        <v>1280.6448193346027</v>
      </c>
      <c r="AK22">
        <v>1403.4094041362241</v>
      </c>
      <c r="AL22" s="3283">
        <v>245.12455208</v>
      </c>
      <c r="AM22" s="3278">
        <v>280.636423552</v>
      </c>
      <c r="AN22" s="3284">
        <v>320.274620024</v>
      </c>
      <c r="AO22" s="3615">
        <v>825.87752215561488</v>
      </c>
      <c r="AP22" s="3614">
        <v>943.21524454741757</v>
      </c>
      <c r="AQ22" s="3616">
        <v>1024.96612893922</v>
      </c>
      <c r="AR22" s="3281">
        <v>1037.9486459046998</v>
      </c>
      <c r="AS22" s="3278">
        <v>1114.180408667625</v>
      </c>
      <c r="AT22" s="3279">
        <v>1190.4121714305502</v>
      </c>
      <c r="AU22" s="3615">
        <v>1103.7837940254001</v>
      </c>
      <c r="AV22" s="3614">
        <v>1193.2768884487668</v>
      </c>
      <c r="AW22" s="3616">
        <v>1282.7699828721334</v>
      </c>
      <c r="AX22" s="3280">
        <v>582.11136055643635</v>
      </c>
      <c r="AY22" s="3278">
        <v>626.9451406473454</v>
      </c>
      <c r="AZ22" s="3279">
        <v>671.77892073825456</v>
      </c>
      <c r="BA22" s="3281">
        <v>885.95852920421817</v>
      </c>
      <c r="BB22" s="3278">
        <v>968.05228914567272</v>
      </c>
      <c r="BC22" s="3279">
        <v>1049.9021737099274</v>
      </c>
      <c r="BD22" s="3281">
        <v>415.68177607360008</v>
      </c>
      <c r="BE22" s="3278">
        <v>488.68718407360006</v>
      </c>
      <c r="BF22" s="3279">
        <v>526.29009207360002</v>
      </c>
      <c r="BG22" s="3281">
        <v>684.12633715400011</v>
      </c>
      <c r="BH22" s="3278">
        <v>765.60065737007994</v>
      </c>
      <c r="BI22" s="3279">
        <v>842.01747758616011</v>
      </c>
      <c r="BJ22" s="3284">
        <v>333.5829488312001</v>
      </c>
      <c r="BK22" s="3279">
        <v>360.84001783120004</v>
      </c>
      <c r="BL22" s="3279">
        <v>388.0970868312001</v>
      </c>
      <c r="BM22" s="3279">
        <v>718.54015380233363</v>
      </c>
      <c r="BN22" s="3279">
        <v>781.98558831808054</v>
      </c>
      <c r="BO22" s="3279">
        <v>845.43102283382734</v>
      </c>
      <c r="BP22" s="3282">
        <v>153.77252650324007</v>
      </c>
      <c r="BQ22" s="3282">
        <v>471.32101466522897</v>
      </c>
      <c r="BR22" s="3279">
        <v>551.12825220987997</v>
      </c>
      <c r="BS22" s="3279">
        <v>592.24727336113597</v>
      </c>
      <c r="BT22" s="3279">
        <v>633.36629451239207</v>
      </c>
      <c r="BU22" s="3279">
        <v>1289.4881556632515</v>
      </c>
      <c r="BV22" s="3279">
        <v>1371.4539543263031</v>
      </c>
      <c r="BW22" s="3279">
        <v>1470.5459183212774</v>
      </c>
      <c r="BX22" s="3279">
        <v>916.8896374241001</v>
      </c>
      <c r="BY22" s="3279">
        <v>1026.78885782925</v>
      </c>
      <c r="BZ22" s="3279">
        <v>1136.6880782344001</v>
      </c>
      <c r="CA22" s="3279">
        <v>786.51457740284798</v>
      </c>
      <c r="CB22" s="3279">
        <v>860.17296170535997</v>
      </c>
      <c r="CC22" s="3279">
        <v>933.83134600787207</v>
      </c>
      <c r="CD22" s="3279">
        <v>792.52984742410001</v>
      </c>
      <c r="CE22" s="3279">
        <v>887.68363082924998</v>
      </c>
      <c r="CF22" s="3279">
        <v>982.83741423439994</v>
      </c>
      <c r="CG22" s="3279">
        <v>1223.7779754954454</v>
      </c>
      <c r="CH22" s="3279">
        <v>1349.3905411587612</v>
      </c>
      <c r="CI22" s="3279">
        <v>1439.6006068220775</v>
      </c>
      <c r="CJ22" s="3279">
        <v>792.52984742410001</v>
      </c>
      <c r="CK22" s="3279">
        <v>887.68363082924998</v>
      </c>
      <c r="CL22" s="3279">
        <v>982.83741423439994</v>
      </c>
      <c r="CM22" s="3279">
        <v>962.81246563791331</v>
      </c>
      <c r="CN22" s="3279">
        <v>1044.6751030430632</v>
      </c>
      <c r="CO22" s="3279">
        <v>1126.5377404482133</v>
      </c>
    </row>
    <row r="23" spans="2:93" ht="18" x14ac:dyDescent="0.2">
      <c r="B23" s="3285" t="s">
        <v>1401</v>
      </c>
      <c r="C23" s="3286"/>
      <c r="D23" s="3287" t="s">
        <v>1058</v>
      </c>
      <c r="E23" s="3288">
        <v>-468.67615689384002</v>
      </c>
      <c r="F23" s="3289">
        <v>-541.71974468133999</v>
      </c>
      <c r="G23" s="3290">
        <v>-905.21788804899995</v>
      </c>
      <c r="H23" s="3731">
        <v>-576.30051110073623</v>
      </c>
      <c r="I23" s="3732">
        <v>-857.9544694768399</v>
      </c>
      <c r="J23" s="3732">
        <v>-598.86937121672872</v>
      </c>
      <c r="K23" s="3733">
        <v>-989.10785159863678</v>
      </c>
      <c r="L23" s="3734">
        <v>-1026.56609323204</v>
      </c>
      <c r="M23">
        <v>-494.88783815655745</v>
      </c>
      <c r="N23">
        <v>-700.26118577753675</v>
      </c>
      <c r="O23" s="3293">
        <v>-2823.3664863477334</v>
      </c>
      <c r="P23" s="3617">
        <v>-307.1673506944</v>
      </c>
      <c r="Q23" s="3618">
        <v>-568.41606030319997</v>
      </c>
      <c r="R23" s="3619">
        <v>-608.40749780319993</v>
      </c>
      <c r="S23" s="3727">
        <v>-628.23728823707506</v>
      </c>
      <c r="T23" s="3729">
        <v>-711.38434701988763</v>
      </c>
      <c r="U23">
        <v>-794.53140580270008</v>
      </c>
      <c r="V23" s="3615">
        <v>-667.87328823707503</v>
      </c>
      <c r="W23" s="3614">
        <v>-789.68403328082491</v>
      </c>
      <c r="X23">
        <v>-931.74614343582493</v>
      </c>
      <c r="Y23" s="3280">
        <v>-760.55676047911288</v>
      </c>
      <c r="Z23" s="3278">
        <v>-888.31520405022684</v>
      </c>
      <c r="AA23" s="3279">
        <v>-1016.0736476213408</v>
      </c>
      <c r="AB23">
        <v>-850.43291062054936</v>
      </c>
      <c r="AC23" s="3614">
        <v>-936.04575560551609</v>
      </c>
      <c r="AD23" s="3616">
        <v>-1045.8063937524826</v>
      </c>
      <c r="AE23" s="3222"/>
      <c r="AF23" s="3280">
        <v>-1163.7935025958668</v>
      </c>
      <c r="AG23" s="3278">
        <v>-1270.6193414814425</v>
      </c>
      <c r="AH23" s="3279">
        <v>-1354.150560191018</v>
      </c>
      <c r="AI23" s="3615">
        <v>-1157.4981521329819</v>
      </c>
      <c r="AJ23" s="3614">
        <v>-1280.6448193346027</v>
      </c>
      <c r="AK23">
        <v>-1403.4094041362241</v>
      </c>
      <c r="AL23" s="3283">
        <v>-245.12455208</v>
      </c>
      <c r="AM23" s="3278">
        <v>-280.636423552</v>
      </c>
      <c r="AN23" s="3284">
        <v>-320.274620024</v>
      </c>
      <c r="AO23" s="3615">
        <v>-825.87752215561488</v>
      </c>
      <c r="AP23" s="3614">
        <v>-943.21524454741757</v>
      </c>
      <c r="AQ23" s="3616">
        <v>-1024.96612893922</v>
      </c>
      <c r="AR23" s="3281">
        <v>-1037.9486459046998</v>
      </c>
      <c r="AS23" s="3278">
        <v>-1114.180408667625</v>
      </c>
      <c r="AT23" s="3279">
        <v>-1190.4121714305502</v>
      </c>
      <c r="AU23" s="3615">
        <v>-1103.7837940254001</v>
      </c>
      <c r="AV23" s="3614">
        <v>-1193.2768884487668</v>
      </c>
      <c r="AW23" s="3616">
        <v>-1282.7699828721334</v>
      </c>
      <c r="AX23" s="3280">
        <v>-582.11136055643635</v>
      </c>
      <c r="AY23" s="3278">
        <v>-626.9451406473454</v>
      </c>
      <c r="AZ23" s="3279">
        <v>-671.77892073825456</v>
      </c>
      <c r="BA23" s="3281">
        <v>-885.95852920421817</v>
      </c>
      <c r="BB23" s="3278">
        <v>-968.05228914567272</v>
      </c>
      <c r="BC23" s="3279">
        <v>-1049.9021737099274</v>
      </c>
      <c r="BD23" s="3281">
        <v>-415.68177607360008</v>
      </c>
      <c r="BE23" s="3278">
        <v>-488.68718407360006</v>
      </c>
      <c r="BF23" s="3279">
        <v>-526.29009207360002</v>
      </c>
      <c r="BG23" s="3281">
        <v>-684.12633715400011</v>
      </c>
      <c r="BH23" s="3278">
        <v>-765.60065737007994</v>
      </c>
      <c r="BI23" s="3279">
        <v>-842.01747758616011</v>
      </c>
      <c r="BJ23" s="3284">
        <v>-333.5829488312001</v>
      </c>
      <c r="BK23" s="3279">
        <v>-360.84001783120004</v>
      </c>
      <c r="BL23" s="3279">
        <v>-388.0970868312001</v>
      </c>
      <c r="BM23" s="3279">
        <v>-718.54015380233363</v>
      </c>
      <c r="BN23" s="3279">
        <v>-781.98558831808054</v>
      </c>
      <c r="BO23" s="3279">
        <v>-845.43102283382734</v>
      </c>
      <c r="BP23" s="3293">
        <v>-153.77252650324007</v>
      </c>
      <c r="BQ23" s="3293">
        <v>-471.32101466522897</v>
      </c>
      <c r="BR23" s="3279">
        <v>-551.12825220987997</v>
      </c>
      <c r="BS23" s="3279">
        <v>-592.24727336113597</v>
      </c>
      <c r="BT23" s="3279">
        <v>-633.36629451239207</v>
      </c>
      <c r="BU23" s="3279">
        <v>-1289.4881556632515</v>
      </c>
      <c r="BV23" s="3279">
        <v>-1371.4539543263031</v>
      </c>
      <c r="BW23" s="3279">
        <v>-1470.5459183212774</v>
      </c>
      <c r="BX23" s="3279">
        <v>-916.8896374241001</v>
      </c>
      <c r="BY23" s="3279">
        <v>-1026.78885782925</v>
      </c>
      <c r="BZ23" s="3279">
        <v>-1136.6880782344001</v>
      </c>
      <c r="CA23" s="3279">
        <v>-786.51457740284798</v>
      </c>
      <c r="CB23" s="3279">
        <v>-860.17296170535997</v>
      </c>
      <c r="CC23" s="3279">
        <v>-933.83134600787207</v>
      </c>
      <c r="CD23" s="3279">
        <v>-792.52984742410001</v>
      </c>
      <c r="CE23" s="3279">
        <v>-887.68363082924998</v>
      </c>
      <c r="CF23" s="3279">
        <v>-982.83741423439994</v>
      </c>
      <c r="CG23" s="3279">
        <v>-1223.7779754954454</v>
      </c>
      <c r="CH23" s="3279">
        <v>-1349.3905411587612</v>
      </c>
      <c r="CI23" s="3279">
        <v>-1439.6006068220775</v>
      </c>
      <c r="CJ23" s="3279">
        <v>-792.52984742410001</v>
      </c>
      <c r="CK23" s="3279">
        <v>-887.68363082924998</v>
      </c>
      <c r="CL23" s="3279">
        <v>-982.83741423439994</v>
      </c>
      <c r="CM23" s="3279">
        <v>-962.81246563791331</v>
      </c>
      <c r="CN23" s="3279">
        <v>-1044.6751030430632</v>
      </c>
      <c r="CO23" s="3279">
        <v>-1126.5377404482133</v>
      </c>
    </row>
    <row r="24" spans="2:93" ht="16.5" x14ac:dyDescent="0.2">
      <c r="B24" s="3294" t="s">
        <v>1402</v>
      </c>
      <c r="C24" s="3295"/>
      <c r="D24" s="3276" t="s">
        <v>1058</v>
      </c>
      <c r="E24" s="3278">
        <v>510</v>
      </c>
      <c r="F24" s="3278">
        <v>330</v>
      </c>
      <c r="G24" s="3279">
        <v>313</v>
      </c>
      <c r="H24" s="3735">
        <v>360</v>
      </c>
      <c r="I24" s="3736">
        <v>330</v>
      </c>
      <c r="J24" s="3736">
        <v>330</v>
      </c>
      <c r="K24" s="3737">
        <v>313</v>
      </c>
      <c r="L24" s="3738">
        <v>330</v>
      </c>
      <c r="M24">
        <v>510</v>
      </c>
      <c r="N24">
        <v>480</v>
      </c>
      <c r="O24" s="3299">
        <v>330</v>
      </c>
      <c r="P24" s="3620">
        <v>510</v>
      </c>
      <c r="Q24" s="3615">
        <v>480</v>
      </c>
      <c r="R24" s="3621">
        <v>480</v>
      </c>
      <c r="S24" s="3727">
        <v>360</v>
      </c>
      <c r="T24" s="3729">
        <v>330</v>
      </c>
      <c r="U24">
        <v>313</v>
      </c>
      <c r="V24">
        <v>360</v>
      </c>
      <c r="W24">
        <v>330</v>
      </c>
      <c r="X24">
        <v>313</v>
      </c>
      <c r="Y24" s="3296">
        <v>360</v>
      </c>
      <c r="Z24" s="3298">
        <v>330</v>
      </c>
      <c r="AA24" s="3300">
        <v>313</v>
      </c>
      <c r="AB24">
        <v>360</v>
      </c>
      <c r="AC24" s="3620">
        <v>330</v>
      </c>
      <c r="AD24" s="3621">
        <v>313</v>
      </c>
      <c r="AE24" s="3198"/>
      <c r="AF24" s="3296">
        <v>340</v>
      </c>
      <c r="AG24" s="3297">
        <v>340</v>
      </c>
      <c r="AH24" s="3301">
        <v>340</v>
      </c>
      <c r="AI24">
        <v>270</v>
      </c>
      <c r="AJ24">
        <v>270</v>
      </c>
      <c r="AK24">
        <v>270</v>
      </c>
      <c r="AL24" s="3302">
        <v>0</v>
      </c>
      <c r="AM24" s="3303">
        <v>0</v>
      </c>
      <c r="AN24" s="3304">
        <v>0</v>
      </c>
      <c r="AO24">
        <v>270</v>
      </c>
      <c r="AP24">
        <v>270</v>
      </c>
      <c r="AQ24">
        <v>270</v>
      </c>
      <c r="AR24" s="3297">
        <v>270</v>
      </c>
      <c r="AS24" s="3297">
        <v>270</v>
      </c>
      <c r="AT24" s="3301">
        <v>270</v>
      </c>
      <c r="AU24">
        <v>270</v>
      </c>
      <c r="AV24">
        <v>270</v>
      </c>
      <c r="AW24">
        <v>270</v>
      </c>
      <c r="AX24" s="3296">
        <v>270</v>
      </c>
      <c r="AY24" s="3297">
        <v>270</v>
      </c>
      <c r="AZ24" s="3301">
        <v>270</v>
      </c>
      <c r="BA24" s="3297">
        <v>270</v>
      </c>
      <c r="BB24" s="3297">
        <v>270</v>
      </c>
      <c r="BC24" s="3301">
        <v>270</v>
      </c>
      <c r="BD24" s="3297">
        <v>270</v>
      </c>
      <c r="BE24" s="3297">
        <v>270</v>
      </c>
      <c r="BF24" s="3301">
        <v>270</v>
      </c>
      <c r="BG24" s="3297">
        <v>270</v>
      </c>
      <c r="BH24" s="3297">
        <v>270</v>
      </c>
      <c r="BI24" s="3301">
        <v>270</v>
      </c>
      <c r="BJ24" s="3301">
        <v>360</v>
      </c>
      <c r="BK24" s="3301">
        <v>330</v>
      </c>
      <c r="BL24" s="3301">
        <v>313</v>
      </c>
      <c r="BM24" s="3301">
        <v>360</v>
      </c>
      <c r="BN24" s="3301">
        <v>330</v>
      </c>
      <c r="BO24" s="3301">
        <v>313</v>
      </c>
      <c r="BP24" s="3299">
        <v>313</v>
      </c>
      <c r="BQ24" s="3299">
        <v>313</v>
      </c>
      <c r="BR24" s="3301">
        <v>0</v>
      </c>
      <c r="BS24" s="3301">
        <v>0</v>
      </c>
      <c r="BT24" s="3301">
        <v>0</v>
      </c>
      <c r="BU24" s="3301">
        <v>270</v>
      </c>
      <c r="BV24" s="3301">
        <v>270</v>
      </c>
      <c r="BW24" s="3301">
        <v>270</v>
      </c>
      <c r="BX24" s="3301">
        <v>270</v>
      </c>
      <c r="BY24" s="3301">
        <v>270</v>
      </c>
      <c r="BZ24" s="3301">
        <v>270</v>
      </c>
      <c r="CA24" s="3301">
        <v>270</v>
      </c>
      <c r="CB24" s="3301">
        <v>270</v>
      </c>
      <c r="CC24" s="3301">
        <v>270</v>
      </c>
      <c r="CD24" s="3301">
        <v>270</v>
      </c>
      <c r="CE24" s="3301">
        <v>270</v>
      </c>
      <c r="CF24" s="3301">
        <v>270</v>
      </c>
      <c r="CG24" s="3301">
        <v>270</v>
      </c>
      <c r="CH24" s="3301">
        <v>270</v>
      </c>
      <c r="CI24" s="3301">
        <v>270</v>
      </c>
      <c r="CJ24" s="3301">
        <v>270</v>
      </c>
      <c r="CK24" s="3301">
        <v>270</v>
      </c>
      <c r="CL24" s="3301">
        <v>270</v>
      </c>
      <c r="CM24" s="3301">
        <v>270</v>
      </c>
      <c r="CN24" s="3301">
        <v>270</v>
      </c>
      <c r="CO24" s="3301">
        <v>270</v>
      </c>
    </row>
    <row r="25" spans="2:93" ht="16.5" x14ac:dyDescent="0.2">
      <c r="B25" s="3305" t="s">
        <v>1403</v>
      </c>
      <c r="C25" s="3306"/>
      <c r="D25" s="3307" t="s">
        <v>1058</v>
      </c>
      <c r="E25" s="3308">
        <v>3.905634640782</v>
      </c>
      <c r="F25" s="3309">
        <v>4.5143312056778333</v>
      </c>
      <c r="G25" s="3310">
        <v>7.5434824004083332</v>
      </c>
      <c r="H25" s="3739">
        <v>4.8025042591728013</v>
      </c>
      <c r="I25" s="3740">
        <v>7.1496205789736669</v>
      </c>
      <c r="J25" s="3740">
        <v>4.9905780934727391</v>
      </c>
      <c r="K25" s="3741">
        <v>8.2425654299886393</v>
      </c>
      <c r="L25" s="3742">
        <v>8.5547174436003335</v>
      </c>
      <c r="M25">
        <v>4.1240653179713123</v>
      </c>
      <c r="N25">
        <v>5.8355098814794735</v>
      </c>
      <c r="O25" s="3313">
        <v>23.52805405289778</v>
      </c>
      <c r="P25" s="3622">
        <v>2.5597279224533334</v>
      </c>
      <c r="Q25" s="3623">
        <v>4.7368005025266662</v>
      </c>
      <c r="R25" s="3624">
        <v>5.0700624816933324</v>
      </c>
      <c r="S25" s="3739">
        <v>5.2353107353089596</v>
      </c>
      <c r="T25" s="3741">
        <v>5.9282028918323961</v>
      </c>
      <c r="U25">
        <v>6.6210950483558335</v>
      </c>
      <c r="V25" s="3623">
        <v>5.565610735308959</v>
      </c>
      <c r="W25" s="3622">
        <v>6.5807002773402079</v>
      </c>
      <c r="X25">
        <v>7.7645511952985409</v>
      </c>
      <c r="Y25" s="3311">
        <v>6.337973003992607</v>
      </c>
      <c r="Z25" s="3309">
        <v>7.4026267004185557</v>
      </c>
      <c r="AA25" s="3310">
        <v>8.4672803968445063</v>
      </c>
      <c r="AB25">
        <v>7.086940921837912</v>
      </c>
      <c r="AC25" s="3622">
        <v>7.8003812967126338</v>
      </c>
      <c r="AD25" s="3624">
        <v>8.7150532812706878</v>
      </c>
      <c r="AE25" s="3207"/>
      <c r="AF25" s="3311">
        <v>9.6982791882988906</v>
      </c>
      <c r="AG25" s="3309">
        <v>10.588494512345353</v>
      </c>
      <c r="AH25" s="3310">
        <v>11.284588001591818</v>
      </c>
      <c r="AI25" s="3623">
        <v>9.6458179344415154</v>
      </c>
      <c r="AJ25" s="3622">
        <v>10.672040161121688</v>
      </c>
      <c r="AK25">
        <v>11.695078367801868</v>
      </c>
      <c r="AL25" s="3314">
        <v>2.0427046006666667</v>
      </c>
      <c r="AM25" s="3309">
        <v>2.3386368629333334</v>
      </c>
      <c r="AN25" s="3315">
        <v>2.6689551668666667</v>
      </c>
      <c r="AO25" s="3623">
        <v>6.8823126846301239</v>
      </c>
      <c r="AP25" s="3622">
        <v>7.860127037895146</v>
      </c>
      <c r="AQ25" s="3624">
        <v>8.5413844078268326</v>
      </c>
      <c r="AR25" s="3312">
        <v>8.6495720492058314</v>
      </c>
      <c r="AS25" s="3309">
        <v>9.2848367388968747</v>
      </c>
      <c r="AT25" s="3310">
        <v>9.9201014285879179</v>
      </c>
      <c r="AU25" s="3623">
        <v>9.1981982835450022</v>
      </c>
      <c r="AV25" s="3622">
        <v>9.9439740704063908</v>
      </c>
      <c r="AW25" s="3624">
        <v>10.689749857267778</v>
      </c>
      <c r="AX25" s="3311">
        <v>4.8509280046369696</v>
      </c>
      <c r="AY25" s="3309">
        <v>5.2245428387278787</v>
      </c>
      <c r="AZ25" s="3310">
        <v>5.5981576728187887</v>
      </c>
      <c r="BA25" s="3312">
        <v>7.382987743368485</v>
      </c>
      <c r="BB25" s="3309">
        <v>8.0671024095472728</v>
      </c>
      <c r="BC25" s="3310">
        <v>8.7491847809160621</v>
      </c>
      <c r="BD25" s="3312">
        <v>3.464014800613334</v>
      </c>
      <c r="BE25" s="3309">
        <v>4.0723932006133348</v>
      </c>
      <c r="BF25" s="3310">
        <v>4.3857507672800002</v>
      </c>
      <c r="BG25" s="3312">
        <v>5.7010528096166668</v>
      </c>
      <c r="BH25" s="3309">
        <v>6.3800054780839988</v>
      </c>
      <c r="BI25" s="3310">
        <v>7.0168123132180007</v>
      </c>
      <c r="BJ25" s="3315">
        <v>2.7798579069266673</v>
      </c>
      <c r="BK25" s="3310">
        <v>3.0070001485933333</v>
      </c>
      <c r="BL25" s="3310">
        <v>3.2341423902600006</v>
      </c>
      <c r="BM25" s="3310">
        <v>5.9878346150194464</v>
      </c>
      <c r="BN25" s="3310">
        <v>6.5165465693173381</v>
      </c>
      <c r="BO25" s="3310">
        <v>7.045258523615229</v>
      </c>
      <c r="BP25" s="3313">
        <v>1.281437720860334</v>
      </c>
      <c r="BQ25" s="3313">
        <v>3.9276751222102417</v>
      </c>
      <c r="BR25" s="3310">
        <v>4.5927354350823331</v>
      </c>
      <c r="BS25" s="3310">
        <v>4.9353939446761323</v>
      </c>
      <c r="BT25" s="3310">
        <v>5.2780524542699334</v>
      </c>
      <c r="BU25" s="3310">
        <v>10.745734630527098</v>
      </c>
      <c r="BV25" s="3310">
        <v>11.428782952719194</v>
      </c>
      <c r="BW25" s="3310">
        <v>12.254549319343978</v>
      </c>
      <c r="BX25" s="3310">
        <v>7.6407469785341675</v>
      </c>
      <c r="BY25" s="3310">
        <v>8.55657381524375</v>
      </c>
      <c r="BZ25" s="3310">
        <v>9.4724006519533344</v>
      </c>
      <c r="CA25" s="3310">
        <v>6.5542881450237322</v>
      </c>
      <c r="CB25" s="3310">
        <v>7.1681080142113327</v>
      </c>
      <c r="CC25" s="3310">
        <v>7.7819278833989332</v>
      </c>
      <c r="CD25" s="3310">
        <v>6.6044153952008333</v>
      </c>
      <c r="CE25" s="3310">
        <v>7.3973635902437493</v>
      </c>
      <c r="CF25" s="3310">
        <v>8.1903117852866654</v>
      </c>
      <c r="CG25" s="3310">
        <v>10.198149795795379</v>
      </c>
      <c r="CH25" s="3310">
        <v>11.244921176323009</v>
      </c>
      <c r="CI25" s="3310">
        <v>11.996671723517313</v>
      </c>
      <c r="CJ25" s="3310">
        <v>6.6044153952008333</v>
      </c>
      <c r="CK25" s="3310">
        <v>7.3973635902437493</v>
      </c>
      <c r="CL25" s="3310">
        <v>8.1903117852866654</v>
      </c>
      <c r="CM25" s="3310">
        <v>8.0234372136492773</v>
      </c>
      <c r="CN25" s="3310">
        <v>8.7056258586921942</v>
      </c>
      <c r="CO25" s="3310">
        <v>9.3878145037351111</v>
      </c>
    </row>
    <row r="26" spans="2:93" ht="18" x14ac:dyDescent="0.2">
      <c r="B26" s="3316" t="s">
        <v>1404</v>
      </c>
      <c r="C26" s="3317"/>
      <c r="D26" s="3318" t="s">
        <v>1058</v>
      </c>
      <c r="E26" s="3319">
        <v>37.418208465377987</v>
      </c>
      <c r="F26" s="3320">
        <v>-216.23407588701781</v>
      </c>
      <c r="G26" s="3321">
        <v>-599.76137044940833</v>
      </c>
      <c r="H26" s="3743">
        <v>-221.10301535990902</v>
      </c>
      <c r="I26" s="3744">
        <v>-535.10409005581357</v>
      </c>
      <c r="J26" s="3744">
        <v>-273.85994931020144</v>
      </c>
      <c r="K26" s="3745">
        <v>-684.35041702862543</v>
      </c>
      <c r="L26" s="3746">
        <v>-705.12081067564031</v>
      </c>
      <c r="M26">
        <v>10.988096525471239</v>
      </c>
      <c r="N26">
        <v>-226.09669565901623</v>
      </c>
      <c r="O26" s="3324">
        <v>-2516.8945404006313</v>
      </c>
      <c r="P26" s="3625">
        <v>200.27292138314667</v>
      </c>
      <c r="Q26" s="3626">
        <v>-93.152860805726633</v>
      </c>
      <c r="R26" s="3627">
        <v>-133.47756028489326</v>
      </c>
      <c r="S26" s="3743">
        <v>-273.47259897238405</v>
      </c>
      <c r="T26" s="3745">
        <v>-387.31254991172</v>
      </c>
      <c r="U26">
        <v>-488.15250085105589</v>
      </c>
      <c r="V26" s="3626">
        <v>-313.43889897238398</v>
      </c>
      <c r="W26" s="3625">
        <v>-466.26473355816512</v>
      </c>
      <c r="X26">
        <v>-626.51069463112344</v>
      </c>
      <c r="Y26" s="3322">
        <v>-406.89473348310548</v>
      </c>
      <c r="Z26" s="3320">
        <v>-565.71783075064536</v>
      </c>
      <c r="AA26" s="3321">
        <v>-711.54092801818535</v>
      </c>
      <c r="AB26">
        <v>-497.5198515423873</v>
      </c>
      <c r="AC26" s="3625">
        <v>-613.84613690222875</v>
      </c>
      <c r="AD26" s="3627">
        <v>-741.52144703375325</v>
      </c>
      <c r="AE26" s="3325"/>
      <c r="AF26" s="3322">
        <v>-833.49178178416571</v>
      </c>
      <c r="AG26" s="3320">
        <v>-941.20783599378785</v>
      </c>
      <c r="AH26" s="3321">
        <v>-1025.4351481926099</v>
      </c>
      <c r="AI26" s="3626">
        <v>-897.14397006742342</v>
      </c>
      <c r="AJ26" s="3625">
        <v>-1021.3168594957244</v>
      </c>
      <c r="AK26">
        <v>-1145.104482504026</v>
      </c>
      <c r="AL26" s="3326">
        <v>-247.16725668066667</v>
      </c>
      <c r="AM26" s="3320">
        <v>-282.97506041493335</v>
      </c>
      <c r="AN26" s="3327">
        <v>-322.94357519086668</v>
      </c>
      <c r="AO26" s="3626">
        <v>-562.75983484024505</v>
      </c>
      <c r="AP26" s="3625">
        <v>-681.07537158531272</v>
      </c>
      <c r="AQ26" s="3627">
        <v>-763.50751334704682</v>
      </c>
      <c r="AR26" s="3323">
        <v>-776.59821795390565</v>
      </c>
      <c r="AS26" s="3320">
        <v>-853.46524540652183</v>
      </c>
      <c r="AT26" s="3321">
        <v>-930.33227285913813</v>
      </c>
      <c r="AU26" s="3626">
        <v>-842.98199230894511</v>
      </c>
      <c r="AV26" s="3625">
        <v>-933.22086251917324</v>
      </c>
      <c r="AW26" s="3627">
        <v>-1023.4597327294011</v>
      </c>
      <c r="AX26" s="3322">
        <v>-316.96228856107331</v>
      </c>
      <c r="AY26" s="3320">
        <v>-362.16968348607327</v>
      </c>
      <c r="AZ26" s="3321">
        <v>-407.37707841107334</v>
      </c>
      <c r="BA26" s="3323">
        <v>-623.34151694758668</v>
      </c>
      <c r="BB26" s="3320">
        <v>-706.11939155521998</v>
      </c>
      <c r="BC26" s="3321">
        <v>-788.65135849084345</v>
      </c>
      <c r="BD26" s="3323">
        <v>-149.14579087421342</v>
      </c>
      <c r="BE26" s="3320">
        <v>-222.7595772742134</v>
      </c>
      <c r="BF26" s="3321">
        <v>-260.67584284088002</v>
      </c>
      <c r="BG26" s="3323">
        <v>-419.82738996361678</v>
      </c>
      <c r="BH26" s="3320">
        <v>-501.98066284816395</v>
      </c>
      <c r="BI26" s="3321">
        <v>-579.03428989937811</v>
      </c>
      <c r="BJ26" s="3327">
        <v>23.637193261873232</v>
      </c>
      <c r="BK26" s="3321">
        <v>-33.847017979793378</v>
      </c>
      <c r="BL26" s="3321">
        <v>-78.331229221460106</v>
      </c>
      <c r="BM26" s="3321">
        <v>-364.52798841735307</v>
      </c>
      <c r="BN26" s="3321">
        <v>-458.50213488739786</v>
      </c>
      <c r="BO26" s="3321">
        <v>-539.47628135744253</v>
      </c>
      <c r="BP26" s="3324">
        <v>157.94603577589959</v>
      </c>
      <c r="BQ26" s="3324">
        <v>-162.24868978743922</v>
      </c>
      <c r="BR26" s="3321">
        <v>-555.72098764496229</v>
      </c>
      <c r="BS26" s="3321">
        <v>-597.18266730581206</v>
      </c>
      <c r="BT26" s="3321">
        <v>-638.64434696666206</v>
      </c>
      <c r="BU26" s="3321">
        <v>-1030.2338902937786</v>
      </c>
      <c r="BV26" s="3321">
        <v>-1112.8827372790224</v>
      </c>
      <c r="BW26" s="3321">
        <v>-1212.8004676406215</v>
      </c>
      <c r="BX26" s="3321">
        <v>-654.53038440263424</v>
      </c>
      <c r="BY26" s="3321">
        <v>-765.34543164449371</v>
      </c>
      <c r="BZ26" s="3321">
        <v>-876.16047888635342</v>
      </c>
      <c r="CA26" s="3321">
        <v>-523.06886554787172</v>
      </c>
      <c r="CB26" s="3321">
        <v>-597.34106971957135</v>
      </c>
      <c r="CC26" s="3321">
        <v>-671.61327389127098</v>
      </c>
      <c r="CD26" s="3321">
        <v>-529.13426281930083</v>
      </c>
      <c r="CE26" s="3321">
        <v>-625.08099441949378</v>
      </c>
      <c r="CF26" s="3321">
        <v>-721.02772601968661</v>
      </c>
      <c r="CG26" s="3321">
        <v>-963.97612529124081</v>
      </c>
      <c r="CH26" s="3321">
        <v>-1090.6354623350842</v>
      </c>
      <c r="CI26" s="3321">
        <v>-1181.5972785455947</v>
      </c>
      <c r="CJ26" s="3321">
        <v>-529.13426281930083</v>
      </c>
      <c r="CK26" s="3321">
        <v>-625.08099441949378</v>
      </c>
      <c r="CL26" s="3321">
        <v>-721.02772601968661</v>
      </c>
      <c r="CM26" s="3321">
        <v>-700.83590285156254</v>
      </c>
      <c r="CN26" s="3321">
        <v>-783.38072890175545</v>
      </c>
      <c r="CO26" s="3321">
        <v>-865.92555495194836</v>
      </c>
    </row>
    <row r="27" spans="2:93" ht="18" x14ac:dyDescent="0.2">
      <c r="B27" s="3328"/>
      <c r="C27" s="3329"/>
      <c r="D27" s="3212" t="s">
        <v>1405</v>
      </c>
      <c r="E27" s="3330">
        <v>9.3313404070818808E-3</v>
      </c>
      <c r="F27" s="3331">
        <v>-4.9508388629293451E-2</v>
      </c>
      <c r="G27" s="3332">
        <v>-9.2719600288999601E-2</v>
      </c>
      <c r="H27" s="3747">
        <v>-6.3276379747515821E-2</v>
      </c>
      <c r="I27" s="3748">
        <v>-0.13851662411495252</v>
      </c>
      <c r="J27" s="3748">
        <v>-7.0891171201446876E-2</v>
      </c>
      <c r="K27" s="3749">
        <v>-0.11697223981809284</v>
      </c>
      <c r="L27" s="3750">
        <v>-0.18190299477135011</v>
      </c>
      <c r="M27">
        <v>4.2838582945306973E-3</v>
      </c>
      <c r="N27">
        <v>-6.381673115370079E-2</v>
      </c>
      <c r="O27" s="3335">
        <v>-0.36940360765559505</v>
      </c>
      <c r="P27" s="3628">
        <v>7.6980673963386634E-2</v>
      </c>
      <c r="Q27" s="3629">
        <v>-2.0901288100369463E-2</v>
      </c>
      <c r="R27" s="3630">
        <v>-2.6703923792973438E-2</v>
      </c>
      <c r="S27" s="3747">
        <v>-5.2434589008222426E-2</v>
      </c>
      <c r="T27" s="3749">
        <v>-6.3652993124075768E-2</v>
      </c>
      <c r="U27">
        <v>-7.0197368543436278E-2</v>
      </c>
      <c r="V27" s="3629">
        <v>-5.8189714837535315E-2</v>
      </c>
      <c r="W27" s="3628">
        <v>-7.0823229825801637E-2</v>
      </c>
      <c r="X27" s="3634">
        <v>-7.8862919908755144E-2</v>
      </c>
      <c r="Y27" s="3333">
        <v>-8.3888643236322141E-2</v>
      </c>
      <c r="Z27" s="3331">
        <v>-9.5426895088654706E-2</v>
      </c>
      <c r="AA27" s="3332">
        <v>-0.10155940426927257</v>
      </c>
      <c r="AB27">
        <v>-0.10787811702029487</v>
      </c>
      <c r="AC27" s="3628">
        <v>-0.1089011070074722</v>
      </c>
      <c r="AD27" s="3630">
        <v>-0.11131298189077281</v>
      </c>
      <c r="AE27" s="3336"/>
      <c r="AF27" s="3333">
        <v>-0.12462496737203432</v>
      </c>
      <c r="AG27" s="3331">
        <v>-0.11724793970648245</v>
      </c>
      <c r="AH27" s="3332">
        <v>-0.11070824811796058</v>
      </c>
      <c r="AI27" s="3629">
        <v>-0.12354291912024891</v>
      </c>
      <c r="AJ27" s="3628">
        <v>-0.11463015571796985</v>
      </c>
      <c r="AK27">
        <v>-0.10962322560641728</v>
      </c>
      <c r="AL27" s="3337">
        <v>-0.16519114899292675</v>
      </c>
      <c r="AM27" s="3331">
        <v>-0.1477522245274297</v>
      </c>
      <c r="AN27" s="3338">
        <v>-0.13489706566034532</v>
      </c>
      <c r="AO27" s="3629">
        <v>-0.11579849353273269</v>
      </c>
      <c r="AP27" s="3628">
        <v>-0.11808756959595682</v>
      </c>
      <c r="AQ27" s="3630">
        <v>-0.11583248577664602</v>
      </c>
      <c r="AR27" s="3334">
        <v>-0.1127236360138627</v>
      </c>
      <c r="AS27" s="3331">
        <v>-0.10772254356806761</v>
      </c>
      <c r="AT27" s="3332">
        <v>-0.10387554937899449</v>
      </c>
      <c r="AU27" s="3629">
        <v>-0.12420557453435839</v>
      </c>
      <c r="AV27" s="3628">
        <v>-0.11785837262836776</v>
      </c>
      <c r="AW27" s="3630">
        <v>-0.11309797119887474</v>
      </c>
      <c r="AX27" s="3333">
        <v>-8.865978801945526E-2</v>
      </c>
      <c r="AY27" s="3331">
        <v>-8.1044057350088003E-2</v>
      </c>
      <c r="AZ27" s="3332">
        <v>-7.596690357050985E-2</v>
      </c>
      <c r="BA27" s="3334">
        <v>-0.17435931260841464</v>
      </c>
      <c r="BB27" s="3331">
        <v>-0.15801096302256085</v>
      </c>
      <c r="BC27" s="3332">
        <v>-0.14706620690320357</v>
      </c>
      <c r="BD27" s="3334">
        <v>-5.3399853517441254E-2</v>
      </c>
      <c r="BE27" s="3331">
        <v>-6.6463652367291265E-2</v>
      </c>
      <c r="BF27" s="3332">
        <v>-6.6665603508996987E-2</v>
      </c>
      <c r="BG27" s="3334">
        <v>-0.15031413890569881</v>
      </c>
      <c r="BH27" s="3331">
        <v>-0.14977344040105142</v>
      </c>
      <c r="BI27" s="3332">
        <v>-0.14808303664758274</v>
      </c>
      <c r="BJ27" s="3338">
        <v>1.0250589570769875E-2</v>
      </c>
      <c r="BK27" s="3332">
        <v>-1.2009451572026113E-2</v>
      </c>
      <c r="BL27" s="3332">
        <v>-2.3517277173005276E-2</v>
      </c>
      <c r="BM27" s="3332">
        <v>-0.14227425732972429</v>
      </c>
      <c r="BN27" s="3332">
        <v>-0.14912675386146981</v>
      </c>
      <c r="BO27" s="3332">
        <v>-0.15039720585039978</v>
      </c>
      <c r="BP27" s="3335">
        <v>8.2194529737863176E-2</v>
      </c>
      <c r="BQ27" s="3335">
        <v>-8.4433614887205008E-2</v>
      </c>
      <c r="BR27" s="3332">
        <v>-0.43379270350679106</v>
      </c>
      <c r="BS27" s="3332">
        <v>-0.38846454950322457</v>
      </c>
      <c r="BT27" s="3332">
        <v>-0.35608729664353439</v>
      </c>
      <c r="BU27" s="3332">
        <v>-0.23078716180416187</v>
      </c>
      <c r="BV27" s="3332">
        <v>-0.22098764627905804</v>
      </c>
      <c r="BW27" s="3332">
        <v>-0.20798828139469763</v>
      </c>
      <c r="BX27" s="3332">
        <v>-0.2645850046093598</v>
      </c>
      <c r="BY27" s="3332">
        <v>-0.23798498468394738</v>
      </c>
      <c r="BZ27" s="3332">
        <v>-0.22135997223056464</v>
      </c>
      <c r="CA27" s="3332">
        <v>-0.27409339199515381</v>
      </c>
      <c r="CB27" s="3332">
        <v>-0.25041022436838811</v>
      </c>
      <c r="CC27" s="3332">
        <v>-0.23462144595054427</v>
      </c>
      <c r="CD27" s="3332">
        <v>-0.21389532816690957</v>
      </c>
      <c r="CE27" s="3332">
        <v>-0.19436960715047349</v>
      </c>
      <c r="CF27" s="3332">
        <v>-0.18216603151520094</v>
      </c>
      <c r="CG27" s="3332">
        <v>-0.20902066304801323</v>
      </c>
      <c r="CH27" s="3332">
        <v>-0.21283598976154486</v>
      </c>
      <c r="CI27" s="3332">
        <v>-0.20962460123965396</v>
      </c>
      <c r="CJ27" s="3332">
        <v>-0.21389532816690957</v>
      </c>
      <c r="CK27" s="3332">
        <v>-0.19436960715047349</v>
      </c>
      <c r="CL27" s="3332">
        <v>-0.18216603151520094</v>
      </c>
      <c r="CM27" s="3332">
        <v>-0.35518632787753718</v>
      </c>
      <c r="CN27" s="3332">
        <v>-0.30540027909366141</v>
      </c>
      <c r="CO27" s="3332">
        <v>-0.27428399860373903</v>
      </c>
    </row>
    <row r="28" spans="2:93" ht="18.75" thickBot="1" x14ac:dyDescent="0.25">
      <c r="B28" s="3339"/>
      <c r="C28" s="3340"/>
      <c r="D28" s="3341" t="s">
        <v>1406</v>
      </c>
      <c r="E28" s="3342">
        <v>5.5988042442491285E-3</v>
      </c>
      <c r="F28" s="3343">
        <v>-2.9705033177576071E-2</v>
      </c>
      <c r="G28" s="3344">
        <v>-5.5631760173399762E-2</v>
      </c>
      <c r="H28" s="3751">
        <v>-3.7965827848509479E-2</v>
      </c>
      <c r="I28" s="3752">
        <v>-8.3109974468971518E-2</v>
      </c>
      <c r="J28" s="3752">
        <v>-4.2534702720868123E-2</v>
      </c>
      <c r="K28" s="3753">
        <v>-7.0183343890855704E-2</v>
      </c>
      <c r="L28" s="3754">
        <v>-0.10914179686281006</v>
      </c>
      <c r="M28">
        <v>2.5703149767184177E-3</v>
      </c>
      <c r="N28">
        <v>-3.8290038692220474E-2</v>
      </c>
      <c r="O28" s="3347">
        <v>-0.22164216459335703</v>
      </c>
      <c r="P28" s="3631">
        <v>4.6188404378031983E-2</v>
      </c>
      <c r="Q28" s="3632">
        <v>-1.2540772860221679E-2</v>
      </c>
      <c r="R28" s="3633">
        <v>-1.6022354275784065E-2</v>
      </c>
      <c r="S28" s="3751">
        <v>-3.1460753404933456E-2</v>
      </c>
      <c r="T28" s="3753">
        <v>-3.8191795874445461E-2</v>
      </c>
      <c r="U28">
        <v>-4.2118421126061768E-2</v>
      </c>
      <c r="V28" s="3632">
        <v>-3.4913828902521191E-2</v>
      </c>
      <c r="W28" s="3631">
        <v>-4.2493937895480983E-2</v>
      </c>
      <c r="X28">
        <v>-4.7317751945253082E-2</v>
      </c>
      <c r="Y28" s="3345">
        <v>-5.0333185941793292E-2</v>
      </c>
      <c r="Z28" s="3343">
        <v>-5.7256137053192824E-2</v>
      </c>
      <c r="AA28" s="3344">
        <v>-6.0935642561563544E-2</v>
      </c>
      <c r="AB28">
        <v>-6.4726870212176921E-2</v>
      </c>
      <c r="AC28" s="3631">
        <v>-6.5340664204483326E-2</v>
      </c>
      <c r="AD28" s="3633">
        <v>-6.6787789134463704E-2</v>
      </c>
      <c r="AE28" s="3336"/>
      <c r="AF28" s="3345">
        <v>-7.4774980423220602E-2</v>
      </c>
      <c r="AG28" s="3343">
        <v>-7.0348763823889465E-2</v>
      </c>
      <c r="AH28" s="3344">
        <v>-6.6424948870776351E-2</v>
      </c>
      <c r="AI28" s="3632">
        <v>-7.4125751472149337E-2</v>
      </c>
      <c r="AJ28" s="3631">
        <v>-6.8778093430781909E-2</v>
      </c>
      <c r="AK28">
        <v>-6.5773935363850386E-2</v>
      </c>
      <c r="AL28" s="3348">
        <v>-9.9114689395756059E-2</v>
      </c>
      <c r="AM28" s="3343">
        <v>-8.8651334716457822E-2</v>
      </c>
      <c r="AN28" s="3349">
        <v>-8.0938239396207187E-2</v>
      </c>
      <c r="AO28" s="3632">
        <v>-6.9479096119639622E-2</v>
      </c>
      <c r="AP28" s="3631">
        <v>-7.0852541757574078E-2</v>
      </c>
      <c r="AQ28" s="3633">
        <v>-6.949949146598762E-2</v>
      </c>
      <c r="AR28" s="3346">
        <v>-6.7634181608317606E-2</v>
      </c>
      <c r="AS28" s="3343">
        <v>-6.4633526140840572E-2</v>
      </c>
      <c r="AT28" s="3344">
        <v>-6.2325329627396703E-2</v>
      </c>
      <c r="AU28" s="3632">
        <v>-7.4523344720615031E-2</v>
      </c>
      <c r="AV28" s="3631">
        <v>-7.0715023577020655E-2</v>
      </c>
      <c r="AW28" s="3633">
        <v>-6.7858782719324842E-2</v>
      </c>
      <c r="AX28" s="3345">
        <v>-2.4627718894293129</v>
      </c>
      <c r="AY28" s="3343">
        <v>-2.2512238152802224</v>
      </c>
      <c r="AZ28" s="3344">
        <v>-2.110191765847496</v>
      </c>
      <c r="BA28" s="3346">
        <v>-4.8433142391226296</v>
      </c>
      <c r="BB28" s="3343">
        <v>-4.3891934172933569</v>
      </c>
      <c r="BC28" s="3344">
        <v>-4.0851724139778778</v>
      </c>
      <c r="BD28" s="3346">
        <v>-1.4833292643733684</v>
      </c>
      <c r="BE28" s="3343">
        <v>-1.8462125657580908</v>
      </c>
      <c r="BF28" s="3344">
        <v>-1.8518223196943611</v>
      </c>
      <c r="BG28" s="3346">
        <v>-4.1753927473805232</v>
      </c>
      <c r="BH28" s="3343">
        <v>-4.1603733444736513</v>
      </c>
      <c r="BI28" s="3344">
        <v>-4.1134176846550776</v>
      </c>
      <c r="BJ28" s="3349">
        <v>0.28473859918805211</v>
      </c>
      <c r="BK28" s="3344">
        <v>-0.3335958770007254</v>
      </c>
      <c r="BL28" s="3344">
        <v>-0.65325769925014665</v>
      </c>
      <c r="BM28" s="3344">
        <v>-3.952062703603453</v>
      </c>
      <c r="BN28" s="3344">
        <v>-4.1424098294852731</v>
      </c>
      <c r="BO28" s="3344">
        <v>-4.1777001625111057</v>
      </c>
      <c r="BP28" s="3347">
        <v>2.2831813816073105</v>
      </c>
      <c r="BQ28" s="3347">
        <v>-2.3453781913112506</v>
      </c>
      <c r="BR28" s="3344">
        <v>-12.049797319633086</v>
      </c>
      <c r="BS28" s="3344">
        <v>-10.790681930645128</v>
      </c>
      <c r="BT28" s="3344">
        <v>-9.8913137956537334</v>
      </c>
      <c r="BU28" s="3344">
        <v>-6.4107544945600532</v>
      </c>
      <c r="BV28" s="3344">
        <v>-6.1385457299738349</v>
      </c>
      <c r="BW28" s="3344">
        <v>-5.7774522609638241</v>
      </c>
      <c r="BX28" s="3344">
        <v>-7.3495834613711057</v>
      </c>
      <c r="BY28" s="3344">
        <v>-6.6106940189985375</v>
      </c>
      <c r="BZ28" s="3344">
        <v>-6.1488881175156855</v>
      </c>
      <c r="CA28" s="3344">
        <v>-7.6137053331987161</v>
      </c>
      <c r="CB28" s="3344">
        <v>-6.9558395657885583</v>
      </c>
      <c r="CC28" s="3344">
        <v>-6.5172623875151183</v>
      </c>
      <c r="CD28" s="3344">
        <v>-5.9415368935252655</v>
      </c>
      <c r="CE28" s="3344">
        <v>-5.3991557541798194</v>
      </c>
      <c r="CF28" s="3344">
        <v>-5.0601675420889149</v>
      </c>
      <c r="CG28" s="3344">
        <v>-5.8061295291114794</v>
      </c>
      <c r="CH28" s="3344">
        <v>-5.9121108267095801</v>
      </c>
      <c r="CI28" s="3344">
        <v>-5.8229055899903885</v>
      </c>
      <c r="CJ28" s="3344">
        <v>-5.9415368935252655</v>
      </c>
      <c r="CK28" s="3344">
        <v>-5.3991557541798194</v>
      </c>
      <c r="CL28" s="3344">
        <v>-5.0601675420889149</v>
      </c>
      <c r="CM28" s="3344">
        <v>-9.8662868854871437</v>
      </c>
      <c r="CN28" s="3344">
        <v>-8.483341085935038</v>
      </c>
      <c r="CO28" s="3344">
        <v>-7.618999961214973</v>
      </c>
    </row>
    <row r="29" spans="2:93" ht="18.75" thickBot="1" x14ac:dyDescent="0.25">
      <c r="B29" s="3350"/>
      <c r="C29" s="3351"/>
      <c r="D29" s="3352"/>
      <c r="E29" s="3353"/>
      <c r="F29" s="3353"/>
      <c r="G29" s="3354"/>
      <c r="H29" s="3747"/>
      <c r="I29" s="3750"/>
      <c r="J29" s="3750"/>
      <c r="K29" s="3748"/>
      <c r="L29" s="3750"/>
      <c r="O29" s="3353"/>
      <c r="P29" s="3629"/>
      <c r="Q29" s="3634"/>
      <c r="R29" s="3635"/>
      <c r="S29"/>
      <c r="T29" s="3750"/>
      <c r="U29" s="3750"/>
      <c r="V29" s="3634"/>
      <c r="W29" s="3634"/>
      <c r="X29" s="3634"/>
      <c r="Y29" s="3355"/>
      <c r="Z29" s="3357"/>
      <c r="AA29" s="3358"/>
      <c r="AB29"/>
      <c r="AC29" s="3628"/>
      <c r="AD29" s="3630"/>
      <c r="AE29" s="3336"/>
      <c r="AF29" s="3356"/>
      <c r="AG29" s="3353"/>
      <c r="AH29" s="3354"/>
      <c r="AI29" s="3634"/>
      <c r="AJ29" s="3634"/>
      <c r="AK29" s="3634"/>
      <c r="AL29" s="3353"/>
      <c r="AM29" s="3353"/>
      <c r="AN29" s="3353"/>
      <c r="AO29" s="3634"/>
      <c r="AP29" s="3634"/>
      <c r="AQ29" s="3635"/>
      <c r="AR29" s="3353"/>
      <c r="AS29" s="3353"/>
      <c r="AT29" s="3354"/>
      <c r="AU29" s="3634"/>
      <c r="AV29" s="3634"/>
      <c r="AW29" s="3635"/>
      <c r="AX29" s="3356"/>
      <c r="AY29" s="3353"/>
      <c r="AZ29" s="3354"/>
      <c r="BA29" s="3353"/>
      <c r="BB29" s="3353"/>
      <c r="BC29" s="3354"/>
      <c r="BD29" s="3353"/>
      <c r="BE29" s="3353"/>
      <c r="BF29" s="3354"/>
      <c r="BG29" s="3353"/>
      <c r="BH29" s="3353"/>
      <c r="BI29" s="3354"/>
      <c r="BJ29" s="3354"/>
      <c r="BK29" s="3354"/>
      <c r="BL29" s="3354"/>
      <c r="BM29" s="3354"/>
      <c r="BN29" s="3354"/>
      <c r="BO29" s="3354"/>
      <c r="BP29" s="3336"/>
      <c r="BQ29" s="3336"/>
      <c r="BR29" s="3354"/>
      <c r="BS29" s="3354"/>
      <c r="BT29" s="3354"/>
      <c r="BU29" s="3354"/>
      <c r="BV29" s="3354"/>
      <c r="BW29" s="3354"/>
      <c r="BX29" s="3354"/>
      <c r="BY29" s="3354"/>
      <c r="BZ29" s="3354"/>
      <c r="CA29" s="3354"/>
      <c r="CB29" s="3354"/>
      <c r="CC29" s="3354"/>
      <c r="CD29" s="3354"/>
      <c r="CE29" s="3354"/>
      <c r="CF29" s="3354"/>
      <c r="CG29" s="3354"/>
      <c r="CH29" s="3354"/>
      <c r="CI29" s="3354"/>
      <c r="CJ29" s="3354"/>
      <c r="CK29" s="3354"/>
      <c r="CL29" s="3354"/>
      <c r="CM29" s="3354"/>
      <c r="CN29" s="3354"/>
      <c r="CO29" s="3354"/>
    </row>
    <row r="30" spans="2:93" ht="16.5" x14ac:dyDescent="0.2">
      <c r="B30" s="3359" t="s">
        <v>1407</v>
      </c>
      <c r="C30" s="3360"/>
      <c r="D30" s="3361" t="s">
        <v>540</v>
      </c>
      <c r="E30" s="3362">
        <v>10.797866666666666</v>
      </c>
      <c r="F30" s="3363">
        <v>11.31245</v>
      </c>
      <c r="G30" s="3364">
        <v>15.730833333333329</v>
      </c>
      <c r="H30" s="3755">
        <v>13.651725974025974</v>
      </c>
      <c r="I30" s="3756">
        <v>7.877699999999999</v>
      </c>
      <c r="J30" s="3756">
        <v>14.064156400742116</v>
      </c>
      <c r="K30" s="3757">
        <v>19.621469387755102</v>
      </c>
      <c r="L30" s="3758">
        <v>11.0097</v>
      </c>
      <c r="M30">
        <v>10.699716542343133</v>
      </c>
      <c r="N30">
        <v>17.305845677928914</v>
      </c>
      <c r="O30" s="3367">
        <v>20.487599999999997</v>
      </c>
      <c r="P30" s="3636">
        <v>15.048</v>
      </c>
      <c r="Q30" s="3637">
        <v>16.488999999999997</v>
      </c>
      <c r="R30" s="3638">
        <v>19.789000000000001</v>
      </c>
      <c r="S30" s="3755">
        <v>15.0193125</v>
      </c>
      <c r="T30" s="3757">
        <v>16.756031249999999</v>
      </c>
      <c r="U30">
        <v>18.492750000000001</v>
      </c>
      <c r="V30" s="3637">
        <v>15.0193125</v>
      </c>
      <c r="W30" s="3636">
        <v>17.334937499999999</v>
      </c>
      <c r="X30">
        <v>19.967437499999999</v>
      </c>
      <c r="Y30" s="3365">
        <v>21.22067178276269</v>
      </c>
      <c r="Z30" s="3363">
        <v>23.561320346320343</v>
      </c>
      <c r="AA30" s="3364">
        <v>25.333378591105866</v>
      </c>
      <c r="AB30">
        <v>18.782404958677681</v>
      </c>
      <c r="AC30" s="3636">
        <v>20.478272727272724</v>
      </c>
      <c r="AD30" s="3638">
        <v>23.228966942148759</v>
      </c>
      <c r="AE30" s="3368"/>
      <c r="AF30" s="3365">
        <v>15.918000000000001</v>
      </c>
      <c r="AG30" s="3363">
        <v>17.218363636363637</v>
      </c>
      <c r="AH30" s="3364">
        <v>16.358727272727275</v>
      </c>
      <c r="AI30" s="3637">
        <v>13.874072727272727</v>
      </c>
      <c r="AJ30" s="3636">
        <v>15.418254545454545</v>
      </c>
      <c r="AK30">
        <v>16.962436363636364</v>
      </c>
      <c r="AL30" s="3369">
        <v>6.0840000000000005</v>
      </c>
      <c r="AM30" s="3363">
        <v>6.5519999999999996</v>
      </c>
      <c r="AN30" s="3370">
        <v>7.0200000000000005</v>
      </c>
      <c r="AO30" s="3637">
        <v>13.172219999999999</v>
      </c>
      <c r="AP30" s="3636">
        <v>13.936589999999999</v>
      </c>
      <c r="AQ30" s="3638">
        <v>14.700959999999998</v>
      </c>
      <c r="AR30" s="3366">
        <v>10.381846153846153</v>
      </c>
      <c r="AS30" s="3363">
        <v>10.969823076923076</v>
      </c>
      <c r="AT30" s="3364">
        <v>11.5578</v>
      </c>
      <c r="AU30" s="3637">
        <v>9.3738857142857128</v>
      </c>
      <c r="AV30" s="3636">
        <v>9.8591999999999995</v>
      </c>
      <c r="AW30" s="3638">
        <v>10.344514285714286</v>
      </c>
      <c r="AX30" s="3365">
        <v>8.7119999999999997</v>
      </c>
      <c r="AY30" s="3363">
        <v>8.7119999999999997</v>
      </c>
      <c r="AZ30" s="3364">
        <v>8.7119999999999997</v>
      </c>
      <c r="BA30" s="3366">
        <v>16.124072727272726</v>
      </c>
      <c r="BB30" s="3363">
        <v>17.990590909090912</v>
      </c>
      <c r="BC30" s="3364">
        <v>19.83010909090909</v>
      </c>
      <c r="BD30" s="3366">
        <v>7.7940000000000005</v>
      </c>
      <c r="BE30" s="3363">
        <v>7.7940000000000005</v>
      </c>
      <c r="BF30" s="3364">
        <v>7.7940000000000005</v>
      </c>
      <c r="BG30" s="3366">
        <v>13.61777142857143</v>
      </c>
      <c r="BH30" s="3363">
        <v>14.782525714285715</v>
      </c>
      <c r="BI30" s="3364">
        <v>15.947280000000001</v>
      </c>
      <c r="BJ30" s="3370">
        <v>8.9099999999999984</v>
      </c>
      <c r="BK30" s="3364">
        <v>8.9099999999999984</v>
      </c>
      <c r="BL30" s="3364">
        <v>8.9099999999999984</v>
      </c>
      <c r="BM30" s="3364">
        <v>22.010318181818182</v>
      </c>
      <c r="BN30" s="3364">
        <v>23.199545454545454</v>
      </c>
      <c r="BO30" s="3364">
        <v>24.171136363636364</v>
      </c>
      <c r="BP30" s="3367">
        <v>3.1977000000000002</v>
      </c>
      <c r="BQ30" s="3367">
        <v>13.477803896103897</v>
      </c>
      <c r="BR30" s="3364">
        <v>11.420640000000001</v>
      </c>
      <c r="BS30" s="3364">
        <v>12.235968</v>
      </c>
      <c r="BT30" s="3364">
        <v>13.051296000000001</v>
      </c>
      <c r="BU30" s="3364">
        <v>21.658064516129034</v>
      </c>
      <c r="BV30" s="3364">
        <v>22.820516129032256</v>
      </c>
      <c r="BW30" s="3364">
        <v>23.916387096774194</v>
      </c>
      <c r="BX30" s="3364">
        <v>15.073714285714285</v>
      </c>
      <c r="BY30" s="3364">
        <v>17.257628571428569</v>
      </c>
      <c r="BZ30" s="3364">
        <v>19.441542857142863</v>
      </c>
      <c r="CA30" s="3364">
        <v>15.234624</v>
      </c>
      <c r="CB30" s="3364">
        <v>16.865279999999998</v>
      </c>
      <c r="CC30" s="3364">
        <v>18.495936</v>
      </c>
      <c r="CD30" s="3364">
        <v>15.073714285714285</v>
      </c>
      <c r="CE30" s="3364">
        <v>17.257628571428569</v>
      </c>
      <c r="CF30" s="3364">
        <v>19.441542857142863</v>
      </c>
      <c r="CG30" s="3364">
        <v>21.951406451612904</v>
      </c>
      <c r="CH30" s="3364">
        <v>22.925806451612907</v>
      </c>
      <c r="CI30" s="3364">
        <v>23.656387096774193</v>
      </c>
      <c r="CJ30" s="3364">
        <v>15.073714285714285</v>
      </c>
      <c r="CK30" s="3364">
        <v>17.257628571428569</v>
      </c>
      <c r="CL30" s="3364">
        <v>19.441542857142863</v>
      </c>
      <c r="CM30" s="3364">
        <v>8.2301142857142846</v>
      </c>
      <c r="CN30" s="3364">
        <v>10.41402857142857</v>
      </c>
      <c r="CO30" s="3364">
        <v>12.59794285714286</v>
      </c>
    </row>
    <row r="31" spans="2:93" ht="16.5" x14ac:dyDescent="0.2">
      <c r="B31" s="3371" t="s">
        <v>1408</v>
      </c>
      <c r="C31" s="3372"/>
      <c r="D31" s="3373" t="s">
        <v>1409</v>
      </c>
      <c r="E31" s="3374">
        <v>0</v>
      </c>
      <c r="F31" s="3303">
        <v>0</v>
      </c>
      <c r="G31" s="3304">
        <v>0</v>
      </c>
      <c r="H31" s="3759">
        <v>31.666666666666661</v>
      </c>
      <c r="I31" s="3760">
        <v>33.928571428571423</v>
      </c>
      <c r="J31" s="3760">
        <v>33.928571428571423</v>
      </c>
      <c r="K31" s="3761">
        <v>49.761904761904759</v>
      </c>
      <c r="L31" s="3762" t="s">
        <v>982</v>
      </c>
      <c r="M31">
        <v>34.883720930232556</v>
      </c>
      <c r="N31">
        <v>43.604651162790695</v>
      </c>
      <c r="O31" s="3376">
        <v>25.802469135802468</v>
      </c>
      <c r="P31" s="3639">
        <v>0</v>
      </c>
      <c r="Q31" s="3640">
        <v>0</v>
      </c>
      <c r="R31" s="3641">
        <v>0</v>
      </c>
      <c r="S31" s="3759">
        <v>0</v>
      </c>
      <c r="T31" s="3761">
        <v>0</v>
      </c>
      <c r="U31">
        <v>0</v>
      </c>
      <c r="V31" s="3640">
        <v>0</v>
      </c>
      <c r="W31" s="3639">
        <v>0</v>
      </c>
      <c r="X31">
        <v>0</v>
      </c>
      <c r="Y31" s="3302">
        <v>38.101604278074866</v>
      </c>
      <c r="Z31" s="3303">
        <v>46.568627450980387</v>
      </c>
      <c r="AA31" s="3304">
        <v>55.035650623885921</v>
      </c>
      <c r="AB31">
        <v>38.101604278074866</v>
      </c>
      <c r="AC31" s="3639">
        <v>46.568627450980387</v>
      </c>
      <c r="AD31" s="3641">
        <v>55.035650623885921</v>
      </c>
      <c r="AE31" s="3198"/>
      <c r="AF31" s="3302">
        <v>47.61904761904762</v>
      </c>
      <c r="AG31" s="3303">
        <v>56.277056277056275</v>
      </c>
      <c r="AH31" s="3304">
        <v>64.935064935064929</v>
      </c>
      <c r="AI31" s="3640">
        <v>49.350649350649348</v>
      </c>
      <c r="AJ31" s="3639">
        <v>59.632034632034625</v>
      </c>
      <c r="AK31">
        <v>69.913419913419901</v>
      </c>
      <c r="AL31" s="3377">
        <v>0</v>
      </c>
      <c r="AM31" s="3303">
        <v>0</v>
      </c>
      <c r="AN31" s="3378">
        <v>0</v>
      </c>
      <c r="AO31" s="3640">
        <v>32.884615384615394</v>
      </c>
      <c r="AP31" s="3639">
        <v>38.36538461538462</v>
      </c>
      <c r="AQ31" s="3641">
        <v>43.846153846153847</v>
      </c>
      <c r="AR31" s="3375">
        <v>20.299145299145298</v>
      </c>
      <c r="AS31" s="3303">
        <v>23.344017094017094</v>
      </c>
      <c r="AT31" s="3304">
        <v>26.388888888888886</v>
      </c>
      <c r="AU31" s="3640">
        <v>14.285714285714286</v>
      </c>
      <c r="AV31" s="3639">
        <v>16.666666666666664</v>
      </c>
      <c r="AW31" s="3641">
        <v>19.047619047619047</v>
      </c>
      <c r="AX31" s="3302">
        <v>0</v>
      </c>
      <c r="AY31" s="3303">
        <v>0</v>
      </c>
      <c r="AZ31" s="3304">
        <v>0</v>
      </c>
      <c r="BA31" s="3375">
        <v>49.350649350649348</v>
      </c>
      <c r="BB31" s="3303">
        <v>61.688311688311686</v>
      </c>
      <c r="BC31" s="3304">
        <v>74.025974025974008</v>
      </c>
      <c r="BD31" s="3375">
        <v>0</v>
      </c>
      <c r="BE31" s="3303">
        <v>0</v>
      </c>
      <c r="BF31" s="3304">
        <v>0</v>
      </c>
      <c r="BG31" s="3375">
        <v>41.758241758241766</v>
      </c>
      <c r="BH31" s="3303">
        <v>50.109890109890117</v>
      </c>
      <c r="BI31" s="3304">
        <v>58.461538461538467</v>
      </c>
      <c r="BJ31" s="3378">
        <v>0</v>
      </c>
      <c r="BK31" s="3304">
        <v>0</v>
      </c>
      <c r="BL31" s="3304">
        <v>0</v>
      </c>
      <c r="BM31" s="3304">
        <v>43.658088235294116</v>
      </c>
      <c r="BN31" s="3304">
        <v>52.389705882352942</v>
      </c>
      <c r="BO31" s="3304">
        <v>61.121323529411768</v>
      </c>
      <c r="BP31" s="3376">
        <v>0</v>
      </c>
      <c r="BQ31" s="3376">
        <v>33.928571428571431</v>
      </c>
      <c r="BR31" s="3304">
        <v>29.230769230769234</v>
      </c>
      <c r="BS31" s="3304">
        <v>35.076923076923073</v>
      </c>
      <c r="BT31" s="3304">
        <v>40.923076923076927</v>
      </c>
      <c r="BU31" s="3304">
        <v>75.901328273244786</v>
      </c>
      <c r="BV31" s="3304">
        <v>85.626185958254268</v>
      </c>
      <c r="BW31" s="3304">
        <v>99.146110056926005</v>
      </c>
      <c r="BX31" s="3379">
        <v>49.894957983193279</v>
      </c>
      <c r="BY31" s="3379">
        <v>64.863445378151255</v>
      </c>
      <c r="BZ31" s="3379">
        <v>79.831932773109244</v>
      </c>
      <c r="CA31" s="3379">
        <v>43.428571428571423</v>
      </c>
      <c r="CB31" s="3379">
        <v>54.285714285714285</v>
      </c>
      <c r="CC31" s="3379">
        <v>65.142857142857125</v>
      </c>
      <c r="CD31" s="3379">
        <v>49.894957983193279</v>
      </c>
      <c r="CE31" s="3379">
        <v>64.863445378151255</v>
      </c>
      <c r="CF31" s="3379">
        <v>79.831932773109244</v>
      </c>
      <c r="CG31" s="3304">
        <v>81.119544592030365</v>
      </c>
      <c r="CH31" s="3304">
        <v>90.132827324478171</v>
      </c>
      <c r="CI31" s="3304">
        <v>99.146110056926005</v>
      </c>
      <c r="CJ31" s="3304">
        <v>49.894957983193279</v>
      </c>
      <c r="CK31" s="3304">
        <v>64.863445378151255</v>
      </c>
      <c r="CL31" s="3304">
        <v>79.831932773109244</v>
      </c>
      <c r="CM31" s="3304">
        <v>48.469387755102034</v>
      </c>
      <c r="CN31" s="3304">
        <v>63.010204081632651</v>
      </c>
      <c r="CO31" s="3304">
        <v>77.551020408163268</v>
      </c>
    </row>
    <row r="32" spans="2:93" ht="16.5" x14ac:dyDescent="0.2">
      <c r="B32" s="3261" t="s">
        <v>1410</v>
      </c>
      <c r="C32" s="3380">
        <v>15.75</v>
      </c>
      <c r="D32" s="3381" t="s">
        <v>1058</v>
      </c>
      <c r="E32" s="3201">
        <v>170.06639999999999</v>
      </c>
      <c r="F32" s="3202">
        <v>178.1710875</v>
      </c>
      <c r="G32" s="3203">
        <v>247.76062499999995</v>
      </c>
      <c r="H32" s="3707">
        <v>215.01468409090907</v>
      </c>
      <c r="I32" s="3708">
        <v>124.07377499999998</v>
      </c>
      <c r="J32" s="3708">
        <v>221.51046331168831</v>
      </c>
      <c r="K32" s="3709">
        <v>309.03814285714287</v>
      </c>
      <c r="L32" s="3710">
        <v>173.40277500000002</v>
      </c>
      <c r="M32">
        <v>168.52053554190434</v>
      </c>
      <c r="N32">
        <v>272.56706942738037</v>
      </c>
      <c r="O32" s="3206">
        <v>322.67969999999997</v>
      </c>
      <c r="P32" s="3597">
        <v>237.006</v>
      </c>
      <c r="Q32" s="3598">
        <v>259.70174999999995</v>
      </c>
      <c r="R32" s="3599">
        <v>311.67675000000003</v>
      </c>
      <c r="S32" s="3707">
        <v>236.55417187500001</v>
      </c>
      <c r="T32" s="3709">
        <v>263.9074921875</v>
      </c>
      <c r="U32">
        <v>291.26081250000004</v>
      </c>
      <c r="V32" s="3598">
        <v>236.55417187500001</v>
      </c>
      <c r="W32" s="3597">
        <v>273.02526562499997</v>
      </c>
      <c r="X32">
        <v>314.48714062499999</v>
      </c>
      <c r="Y32" s="3204">
        <v>334.22558057851234</v>
      </c>
      <c r="Z32" s="3202">
        <v>371.0907954545454</v>
      </c>
      <c r="AA32" s="3203">
        <v>399.00071280991739</v>
      </c>
      <c r="AB32">
        <v>295.82287809917347</v>
      </c>
      <c r="AC32" s="3597">
        <v>322.53279545454541</v>
      </c>
      <c r="AD32" s="3599">
        <v>365.85622933884292</v>
      </c>
      <c r="AE32" s="3207"/>
      <c r="AF32" s="3204">
        <v>250.70850000000002</v>
      </c>
      <c r="AG32" s="3202">
        <v>271.18922727272729</v>
      </c>
      <c r="AH32" s="3203">
        <v>257.64995454545459</v>
      </c>
      <c r="AI32" s="3598">
        <v>218.51664545454545</v>
      </c>
      <c r="AJ32" s="3597">
        <v>242.83750909090907</v>
      </c>
      <c r="AK32">
        <v>267.15837272727271</v>
      </c>
      <c r="AL32" s="3208">
        <v>95.823000000000008</v>
      </c>
      <c r="AM32" s="3202">
        <v>103.19399999999999</v>
      </c>
      <c r="AN32" s="3209">
        <v>110.56500000000001</v>
      </c>
      <c r="AO32" s="3598">
        <v>207.46246499999998</v>
      </c>
      <c r="AP32" s="3597">
        <v>219.50129249999998</v>
      </c>
      <c r="AQ32" s="3599">
        <v>231.54011999999997</v>
      </c>
      <c r="AR32" s="3205">
        <v>163.51407692307691</v>
      </c>
      <c r="AS32" s="3202">
        <v>172.77471346153845</v>
      </c>
      <c r="AT32" s="3203">
        <v>182.03534999999999</v>
      </c>
      <c r="AU32" s="3598">
        <v>147.63869999999997</v>
      </c>
      <c r="AV32" s="3597">
        <v>155.2824</v>
      </c>
      <c r="AW32" s="3599">
        <v>162.92610000000002</v>
      </c>
      <c r="AX32" s="3204">
        <v>137.214</v>
      </c>
      <c r="AY32" s="3202">
        <v>137.214</v>
      </c>
      <c r="AZ32" s="3203">
        <v>137.214</v>
      </c>
      <c r="BA32" s="3205">
        <v>253.95414545454543</v>
      </c>
      <c r="BB32" s="3202">
        <v>283.35180681818184</v>
      </c>
      <c r="BC32" s="3203">
        <v>312.3242181818182</v>
      </c>
      <c r="BD32" s="3205">
        <v>122.75550000000001</v>
      </c>
      <c r="BE32" s="3202">
        <v>122.75550000000001</v>
      </c>
      <c r="BF32" s="3203">
        <v>122.75550000000001</v>
      </c>
      <c r="BG32" s="3205">
        <v>214.47990000000001</v>
      </c>
      <c r="BH32" s="3202">
        <v>232.82478</v>
      </c>
      <c r="BI32" s="3203">
        <v>251.16966000000002</v>
      </c>
      <c r="BJ32" s="3209">
        <v>140.33249999999998</v>
      </c>
      <c r="BK32" s="3203">
        <v>140.33249999999998</v>
      </c>
      <c r="BL32" s="3203">
        <v>140.33249999999998</v>
      </c>
      <c r="BM32" s="3203">
        <v>346.66251136363638</v>
      </c>
      <c r="BN32" s="3203">
        <v>365.39284090909092</v>
      </c>
      <c r="BO32" s="3203">
        <v>380.69539772727273</v>
      </c>
      <c r="BP32" s="3206">
        <v>50.363775000000004</v>
      </c>
      <c r="BQ32" s="3206">
        <v>212.27541136363638</v>
      </c>
      <c r="BR32" s="3203">
        <v>179.87508</v>
      </c>
      <c r="BS32" s="3203">
        <v>192.71649600000001</v>
      </c>
      <c r="BT32" s="3203">
        <v>205.55791200000002</v>
      </c>
      <c r="BU32" s="3203">
        <v>341.11451612903227</v>
      </c>
      <c r="BV32" s="3203">
        <v>359.42312903225803</v>
      </c>
      <c r="BW32" s="3203">
        <v>376.68309677419359</v>
      </c>
      <c r="BX32" s="3203">
        <v>237.411</v>
      </c>
      <c r="BY32" s="3203">
        <v>271.80764999999997</v>
      </c>
      <c r="BZ32" s="3203">
        <v>306.2043000000001</v>
      </c>
      <c r="CA32" s="3203">
        <v>239.94532799999999</v>
      </c>
      <c r="CB32" s="3203">
        <v>265.62815999999998</v>
      </c>
      <c r="CC32" s="3203">
        <v>291.310992</v>
      </c>
      <c r="CD32" s="3203">
        <v>237.411</v>
      </c>
      <c r="CE32" s="3203">
        <v>271.80764999999997</v>
      </c>
      <c r="CF32" s="3203">
        <v>306.2043000000001</v>
      </c>
      <c r="CG32" s="3203">
        <v>345.73465161290324</v>
      </c>
      <c r="CH32" s="3203">
        <v>361.08145161290327</v>
      </c>
      <c r="CI32" s="3203">
        <v>372.58809677419356</v>
      </c>
      <c r="CJ32" s="3203">
        <v>237.411</v>
      </c>
      <c r="CK32" s="3203">
        <v>271.80764999999997</v>
      </c>
      <c r="CL32" s="3203">
        <v>306.2043000000001</v>
      </c>
      <c r="CM32" s="3203">
        <v>129.62429999999998</v>
      </c>
      <c r="CN32" s="3203">
        <v>164.02094999999997</v>
      </c>
      <c r="CO32" s="3203">
        <v>198.41760000000005</v>
      </c>
    </row>
    <row r="33" spans="2:93" ht="16.5" x14ac:dyDescent="0.2">
      <c r="B33" s="3261" t="s">
        <v>1411</v>
      </c>
      <c r="C33" s="3262"/>
      <c r="D33" s="3382" t="s">
        <v>1058</v>
      </c>
      <c r="E33" s="3201">
        <v>0</v>
      </c>
      <c r="F33" s="3202">
        <v>0</v>
      </c>
      <c r="G33" s="3203">
        <v>0</v>
      </c>
      <c r="H33" s="3707">
        <v>85.729583333333323</v>
      </c>
      <c r="I33" s="3708">
        <v>91.853124999999977</v>
      </c>
      <c r="J33" s="3708">
        <v>91.853124999999977</v>
      </c>
      <c r="K33" s="3709">
        <v>134.71791666666667</v>
      </c>
      <c r="L33" s="3710">
        <v>0</v>
      </c>
      <c r="M33">
        <v>108.13779069767442</v>
      </c>
      <c r="N33">
        <v>135.17223837209301</v>
      </c>
      <c r="O33" s="3206">
        <v>59.874629629629638</v>
      </c>
      <c r="P33" s="3597">
        <v>0</v>
      </c>
      <c r="Q33" s="3598">
        <v>0</v>
      </c>
      <c r="R33" s="3599">
        <v>0</v>
      </c>
      <c r="S33" s="3707">
        <v>0</v>
      </c>
      <c r="T33" s="3709">
        <v>0</v>
      </c>
      <c r="U33">
        <v>0</v>
      </c>
      <c r="V33" s="3598">
        <v>0</v>
      </c>
      <c r="W33" s="3597">
        <v>0</v>
      </c>
      <c r="X33">
        <v>0</v>
      </c>
      <c r="Y33" s="3204">
        <v>103.15056818181817</v>
      </c>
      <c r="Z33" s="3202">
        <v>126.07291666666664</v>
      </c>
      <c r="AA33" s="3203">
        <v>148.99526515151516</v>
      </c>
      <c r="AB33">
        <v>103.15056818181817</v>
      </c>
      <c r="AC33" s="3597">
        <v>126.07291666666664</v>
      </c>
      <c r="AD33" s="3599">
        <v>148.99526515151516</v>
      </c>
      <c r="AE33" s="3207"/>
      <c r="AF33" s="3204">
        <v>128.91666666666666</v>
      </c>
      <c r="AG33" s="3202">
        <v>152.35606060606059</v>
      </c>
      <c r="AH33" s="3203">
        <v>175.7954545454545</v>
      </c>
      <c r="AI33" s="3598">
        <v>133.60454545454544</v>
      </c>
      <c r="AJ33" s="3597">
        <v>161.43882575757573</v>
      </c>
      <c r="AK33">
        <v>189.27310606060601</v>
      </c>
      <c r="AL33" s="3208">
        <v>0</v>
      </c>
      <c r="AM33" s="3202">
        <v>0</v>
      </c>
      <c r="AN33" s="3209">
        <v>0</v>
      </c>
      <c r="AO33" s="3598">
        <v>89.026875000000018</v>
      </c>
      <c r="AP33" s="3597">
        <v>103.8646875</v>
      </c>
      <c r="AQ33" s="3599">
        <v>118.70249999999999</v>
      </c>
      <c r="AR33" s="3205">
        <v>54.9548611111111</v>
      </c>
      <c r="AS33" s="3202">
        <v>63.198090277777773</v>
      </c>
      <c r="AT33" s="3203">
        <v>71.441319444444431</v>
      </c>
      <c r="AU33" s="3598">
        <v>38.674999999999997</v>
      </c>
      <c r="AV33" s="3597">
        <v>45.120833333333323</v>
      </c>
      <c r="AW33" s="3599">
        <v>51.566666666666663</v>
      </c>
      <c r="AX33" s="3204">
        <v>0</v>
      </c>
      <c r="AY33" s="3202">
        <v>0</v>
      </c>
      <c r="AZ33" s="3203">
        <v>0</v>
      </c>
      <c r="BA33" s="3205">
        <v>133.60454545454544</v>
      </c>
      <c r="BB33" s="3202">
        <v>167.00568181818178</v>
      </c>
      <c r="BC33" s="3203">
        <v>200.40681818181812</v>
      </c>
      <c r="BD33" s="3205">
        <v>0</v>
      </c>
      <c r="BE33" s="3202">
        <v>0</v>
      </c>
      <c r="BF33" s="3203">
        <v>0</v>
      </c>
      <c r="BG33" s="3205">
        <v>113.05000000000001</v>
      </c>
      <c r="BH33" s="3202">
        <v>135.66</v>
      </c>
      <c r="BI33" s="3203">
        <v>158.27000000000001</v>
      </c>
      <c r="BJ33" s="3209">
        <v>0</v>
      </c>
      <c r="BK33" s="3203">
        <v>0</v>
      </c>
      <c r="BL33" s="3203">
        <v>0</v>
      </c>
      <c r="BM33" s="3203">
        <v>118.19335937499999</v>
      </c>
      <c r="BN33" s="3203">
        <v>141.83203125</v>
      </c>
      <c r="BO33" s="3203">
        <v>165.470703125</v>
      </c>
      <c r="BP33" s="3206">
        <v>0</v>
      </c>
      <c r="BQ33" s="3206">
        <v>91.853124999999991</v>
      </c>
      <c r="BR33" s="3203">
        <v>0</v>
      </c>
      <c r="BS33" s="3203">
        <v>0</v>
      </c>
      <c r="BT33" s="3203">
        <v>0</v>
      </c>
      <c r="BU33" s="3203">
        <v>205.48387096774192</v>
      </c>
      <c r="BV33" s="3203">
        <v>231.81149193548384</v>
      </c>
      <c r="BW33" s="3203">
        <v>268.41330645161293</v>
      </c>
      <c r="BX33" s="3203">
        <v>135.078125</v>
      </c>
      <c r="BY33" s="3203">
        <v>175.60156249999997</v>
      </c>
      <c r="BZ33" s="3203">
        <v>216.12499999999997</v>
      </c>
      <c r="CA33" s="3203">
        <v>117.57199999999997</v>
      </c>
      <c r="CB33" s="3203">
        <v>146.96499999999997</v>
      </c>
      <c r="CC33" s="3203">
        <v>176.35799999999992</v>
      </c>
      <c r="CD33" s="3203">
        <v>135.078125</v>
      </c>
      <c r="CE33" s="3203">
        <v>175.60156249999997</v>
      </c>
      <c r="CF33" s="3203">
        <v>216.12499999999997</v>
      </c>
      <c r="CG33" s="3203">
        <v>219.61088709677418</v>
      </c>
      <c r="CH33" s="3203">
        <v>244.01209677419351</v>
      </c>
      <c r="CI33" s="3203">
        <v>268.41330645161293</v>
      </c>
      <c r="CJ33" s="3203">
        <v>135.078125</v>
      </c>
      <c r="CK33" s="3203">
        <v>175.60156249999997</v>
      </c>
      <c r="CL33" s="3203">
        <v>216.12499999999997</v>
      </c>
      <c r="CM33" s="3203">
        <v>131.21874999999997</v>
      </c>
      <c r="CN33" s="3203">
        <v>170.58437499999997</v>
      </c>
      <c r="CO33" s="3203">
        <v>209.95</v>
      </c>
    </row>
    <row r="34" spans="2:93" ht="16.5" x14ac:dyDescent="0.2">
      <c r="B34" s="3261" t="s">
        <v>1412</v>
      </c>
      <c r="C34" s="3262"/>
      <c r="D34" s="3382" t="s">
        <v>1058</v>
      </c>
      <c r="E34" s="3201">
        <v>219.03641809764306</v>
      </c>
      <c r="F34" s="3202">
        <v>219.03641809764306</v>
      </c>
      <c r="G34" s="3203">
        <v>219.03641809764306</v>
      </c>
      <c r="H34" s="3707">
        <v>428.70648476430972</v>
      </c>
      <c r="I34" s="3708">
        <v>250</v>
      </c>
      <c r="J34" s="3708">
        <v>428.70648476430972</v>
      </c>
      <c r="K34" s="3709">
        <v>428.70648476430972</v>
      </c>
      <c r="L34" s="3710">
        <v>250</v>
      </c>
      <c r="M34">
        <v>232.94526254208751</v>
      </c>
      <c r="N34">
        <v>232.94526254208751</v>
      </c>
      <c r="O34" s="3206">
        <v>281.385205976431</v>
      </c>
      <c r="P34" s="3597">
        <v>114.42752416666666</v>
      </c>
      <c r="Q34" s="3598">
        <v>114.42752416666666</v>
      </c>
      <c r="R34" s="3599">
        <v>114.42752416666666</v>
      </c>
      <c r="S34" s="3707">
        <v>298.04164031986545</v>
      </c>
      <c r="T34" s="3709">
        <v>298.04164031986545</v>
      </c>
      <c r="U34">
        <v>298.04164031986545</v>
      </c>
      <c r="V34" s="3598">
        <v>298.04164031986545</v>
      </c>
      <c r="W34" s="3597">
        <v>298.04164031986545</v>
      </c>
      <c r="X34">
        <v>298.04164031986545</v>
      </c>
      <c r="Y34" s="3204">
        <v>482.77219183501694</v>
      </c>
      <c r="Z34" s="3202">
        <v>482.77219183501694</v>
      </c>
      <c r="AA34" s="3203">
        <v>482.77219183501694</v>
      </c>
      <c r="AB34">
        <v>317.89769183501681</v>
      </c>
      <c r="AC34" s="3597">
        <v>317.89769183501681</v>
      </c>
      <c r="AD34" s="3599">
        <v>317.89769183501681</v>
      </c>
      <c r="AE34" s="3207"/>
      <c r="AF34" s="3204">
        <v>321.68768342592591</v>
      </c>
      <c r="AG34" s="3202">
        <v>321.68768342592591</v>
      </c>
      <c r="AH34" s="3203">
        <v>321.68768342592591</v>
      </c>
      <c r="AI34" s="3598">
        <v>321.68768342592591</v>
      </c>
      <c r="AJ34" s="3597">
        <v>321.68768342592591</v>
      </c>
      <c r="AK34">
        <v>321.68768342592591</v>
      </c>
      <c r="AL34" s="3208">
        <v>0</v>
      </c>
      <c r="AM34" s="3202">
        <v>0</v>
      </c>
      <c r="AN34" s="3209">
        <v>0</v>
      </c>
      <c r="AO34" s="3598">
        <v>308.34371759259255</v>
      </c>
      <c r="AP34" s="3597">
        <v>308.34371759259255</v>
      </c>
      <c r="AQ34" s="3599">
        <v>308.34371759259255</v>
      </c>
      <c r="AR34" s="3205">
        <v>321.68768342592591</v>
      </c>
      <c r="AS34" s="3202">
        <v>321.68768342592591</v>
      </c>
      <c r="AT34" s="3203">
        <v>321.68768342592591</v>
      </c>
      <c r="AU34" s="3598">
        <v>321.68768342592591</v>
      </c>
      <c r="AV34" s="3597">
        <v>321.68768342592591</v>
      </c>
      <c r="AW34" s="3599">
        <v>321.68768342592591</v>
      </c>
      <c r="AX34" s="3204">
        <v>293.52803342592591</v>
      </c>
      <c r="AY34" s="3202">
        <v>293.52803342592591</v>
      </c>
      <c r="AZ34" s="3203">
        <v>293.52803342592591</v>
      </c>
      <c r="BA34" s="3205">
        <v>321.68768342592591</v>
      </c>
      <c r="BB34" s="3202">
        <v>321.68768342592591</v>
      </c>
      <c r="BC34" s="3203">
        <v>321.68768342592591</v>
      </c>
      <c r="BD34" s="3205">
        <v>280.18406759259256</v>
      </c>
      <c r="BE34" s="3202">
        <v>280.18406759259256</v>
      </c>
      <c r="BF34" s="3203">
        <v>280.18406759259256</v>
      </c>
      <c r="BG34" s="3205">
        <v>308.34371759259255</v>
      </c>
      <c r="BH34" s="3202">
        <v>308.34371759259255</v>
      </c>
      <c r="BI34" s="3203">
        <v>308.34371759259255</v>
      </c>
      <c r="BJ34" s="3209">
        <v>405.10341607744118</v>
      </c>
      <c r="BK34" s="3203">
        <v>405.10341607744118</v>
      </c>
      <c r="BL34" s="3203">
        <v>405.10341607744118</v>
      </c>
      <c r="BM34" s="3203">
        <v>557.41259789562298</v>
      </c>
      <c r="BN34" s="3203">
        <v>557.41259789562298</v>
      </c>
      <c r="BO34" s="3203">
        <v>557.41259789562298</v>
      </c>
      <c r="BP34" s="3206">
        <v>144.396012037037</v>
      </c>
      <c r="BQ34" s="3206">
        <v>256.99408072390571</v>
      </c>
      <c r="BR34" s="3203">
        <v>0</v>
      </c>
      <c r="BS34" s="3203">
        <v>0</v>
      </c>
      <c r="BT34" s="3203">
        <v>0</v>
      </c>
      <c r="BU34" s="3203">
        <v>321.68768342592591</v>
      </c>
      <c r="BV34" s="3203">
        <v>321.68768342592591</v>
      </c>
      <c r="BW34" s="3203">
        <v>321.68768342592591</v>
      </c>
      <c r="BX34" s="3203">
        <v>321.68768342592591</v>
      </c>
      <c r="BY34" s="3203">
        <v>321.68768342592591</v>
      </c>
      <c r="BZ34" s="3203">
        <v>321.68768342592591</v>
      </c>
      <c r="CA34" s="3203">
        <v>321.68768342592591</v>
      </c>
      <c r="CB34" s="3203">
        <v>321.68768342592591</v>
      </c>
      <c r="CC34" s="3203">
        <v>321.68768342592591</v>
      </c>
      <c r="CD34" s="3203">
        <v>321.68768342592591</v>
      </c>
      <c r="CE34" s="3203">
        <v>321.68768342592591</v>
      </c>
      <c r="CF34" s="3203">
        <v>321.68768342592591</v>
      </c>
      <c r="CG34" s="3203">
        <v>321.68768342592591</v>
      </c>
      <c r="CH34" s="3203">
        <v>321.68768342592591</v>
      </c>
      <c r="CI34" s="3203">
        <v>321.68768342592591</v>
      </c>
      <c r="CJ34" s="3203">
        <v>321.68768342592591</v>
      </c>
      <c r="CK34" s="3203">
        <v>321.68768342592591</v>
      </c>
      <c r="CL34" s="3203">
        <v>321.68768342592591</v>
      </c>
      <c r="CM34" s="3203">
        <v>321.68768342592591</v>
      </c>
      <c r="CN34" s="3203">
        <v>321.68768342592591</v>
      </c>
      <c r="CO34" s="3203">
        <v>321.68768342592591</v>
      </c>
    </row>
    <row r="35" spans="2:93" ht="16.5" x14ac:dyDescent="0.2">
      <c r="B35" s="3261" t="s">
        <v>1413</v>
      </c>
      <c r="C35" s="3262"/>
      <c r="D35" s="3382" t="s">
        <v>1058</v>
      </c>
      <c r="E35" s="3201">
        <v>44.625</v>
      </c>
      <c r="F35" s="3202">
        <v>44.625</v>
      </c>
      <c r="G35" s="3203">
        <v>44.625</v>
      </c>
      <c r="H35" s="3707">
        <v>44.625</v>
      </c>
      <c r="I35" s="3708">
        <v>44.625</v>
      </c>
      <c r="J35" s="3708">
        <v>44.625</v>
      </c>
      <c r="K35" s="3709">
        <v>44.625</v>
      </c>
      <c r="L35" s="3710">
        <v>44.625</v>
      </c>
      <c r="M35">
        <v>44.625</v>
      </c>
      <c r="N35">
        <v>44.625</v>
      </c>
      <c r="O35" s="3206">
        <v>44.625</v>
      </c>
      <c r="P35" s="3597">
        <v>44.625</v>
      </c>
      <c r="Q35" s="3598">
        <v>44.625</v>
      </c>
      <c r="R35" s="3599">
        <v>44.625</v>
      </c>
      <c r="S35" s="3707">
        <v>44.625</v>
      </c>
      <c r="T35" s="3709">
        <v>44.625</v>
      </c>
      <c r="U35">
        <v>44.625</v>
      </c>
      <c r="V35" s="3598">
        <v>44.625</v>
      </c>
      <c r="W35" s="3597">
        <v>44.625</v>
      </c>
      <c r="X35">
        <v>44.625</v>
      </c>
      <c r="Y35" s="3204">
        <v>44.625</v>
      </c>
      <c r="Z35" s="3202">
        <v>44.625</v>
      </c>
      <c r="AA35" s="3203">
        <v>44.625</v>
      </c>
      <c r="AB35">
        <v>44.625</v>
      </c>
      <c r="AC35" s="3597">
        <v>44.625</v>
      </c>
      <c r="AD35" s="3599">
        <v>44.625</v>
      </c>
      <c r="AE35" s="3207"/>
      <c r="AF35" s="3204">
        <v>44.625</v>
      </c>
      <c r="AG35" s="3202">
        <v>44.625</v>
      </c>
      <c r="AH35" s="3203">
        <v>44.625</v>
      </c>
      <c r="AI35" s="3598">
        <v>44.625</v>
      </c>
      <c r="AJ35" s="3597">
        <v>44.625</v>
      </c>
      <c r="AK35">
        <v>44.625</v>
      </c>
      <c r="AL35" s="3208">
        <v>0</v>
      </c>
      <c r="AM35" s="3202">
        <v>0</v>
      </c>
      <c r="AN35" s="3209">
        <v>0</v>
      </c>
      <c r="AO35" s="3598">
        <v>44.625</v>
      </c>
      <c r="AP35" s="3597">
        <v>44.625</v>
      </c>
      <c r="AQ35" s="3599">
        <v>44.625</v>
      </c>
      <c r="AR35" s="3205">
        <v>44.625</v>
      </c>
      <c r="AS35" s="3202">
        <v>44.625</v>
      </c>
      <c r="AT35" s="3203">
        <v>44.625</v>
      </c>
      <c r="AU35" s="3598">
        <v>44.625</v>
      </c>
      <c r="AV35" s="3597">
        <v>44.625</v>
      </c>
      <c r="AW35" s="3599">
        <v>44.625</v>
      </c>
      <c r="AX35" s="3204">
        <v>44.625</v>
      </c>
      <c r="AY35" s="3202">
        <v>44.625</v>
      </c>
      <c r="AZ35" s="3203">
        <v>44.625</v>
      </c>
      <c r="BA35" s="3205">
        <v>44.625</v>
      </c>
      <c r="BB35" s="3202">
        <v>44.625</v>
      </c>
      <c r="BC35" s="3203">
        <v>44.625</v>
      </c>
      <c r="BD35" s="3205">
        <v>44.625</v>
      </c>
      <c r="BE35" s="3202">
        <v>44.625</v>
      </c>
      <c r="BF35" s="3203">
        <v>44.625</v>
      </c>
      <c r="BG35" s="3205">
        <v>44.625</v>
      </c>
      <c r="BH35" s="3202">
        <v>44.625</v>
      </c>
      <c r="BI35" s="3203">
        <v>44.625</v>
      </c>
      <c r="BJ35" s="3209">
        <v>44.625</v>
      </c>
      <c r="BK35" s="3203">
        <v>44.625</v>
      </c>
      <c r="BL35" s="3203">
        <v>44.625</v>
      </c>
      <c r="BM35" s="3203">
        <v>44.625</v>
      </c>
      <c r="BN35" s="3203">
        <v>44.625</v>
      </c>
      <c r="BO35" s="3203">
        <v>44.625</v>
      </c>
      <c r="BP35" s="3206">
        <v>44.625</v>
      </c>
      <c r="BQ35" s="3206">
        <v>44.625</v>
      </c>
      <c r="BR35" s="3203">
        <v>0</v>
      </c>
      <c r="BS35" s="3203">
        <v>0</v>
      </c>
      <c r="BT35" s="3203">
        <v>0</v>
      </c>
      <c r="BU35" s="3203">
        <v>44.625</v>
      </c>
      <c r="BV35" s="3203">
        <v>44.625</v>
      </c>
      <c r="BW35" s="3203">
        <v>44.625</v>
      </c>
      <c r="BX35" s="3203">
        <v>44.625</v>
      </c>
      <c r="BY35" s="3203">
        <v>44.625</v>
      </c>
      <c r="BZ35" s="3203">
        <v>44.625</v>
      </c>
      <c r="CA35" s="3203">
        <v>44.625</v>
      </c>
      <c r="CB35" s="3203">
        <v>44.625</v>
      </c>
      <c r="CC35" s="3203">
        <v>44.625</v>
      </c>
      <c r="CD35" s="3203">
        <v>44.625</v>
      </c>
      <c r="CE35" s="3203">
        <v>44.625</v>
      </c>
      <c r="CF35" s="3203">
        <v>44.625</v>
      </c>
      <c r="CG35" s="3203">
        <v>44.625</v>
      </c>
      <c r="CH35" s="3203">
        <v>44.625</v>
      </c>
      <c r="CI35" s="3203">
        <v>44.625</v>
      </c>
      <c r="CJ35" s="3203">
        <v>44.625</v>
      </c>
      <c r="CK35" s="3203">
        <v>44.625</v>
      </c>
      <c r="CL35" s="3203">
        <v>44.625</v>
      </c>
      <c r="CM35" s="3203">
        <v>44.625</v>
      </c>
      <c r="CN35" s="3203">
        <v>44.625</v>
      </c>
      <c r="CO35" s="3203">
        <v>44.625</v>
      </c>
    </row>
    <row r="36" spans="2:93" ht="16.5" x14ac:dyDescent="0.2">
      <c r="B36" s="3261" t="s">
        <v>1414</v>
      </c>
      <c r="C36" s="3262"/>
      <c r="D36" s="3260" t="s">
        <v>1058</v>
      </c>
      <c r="E36" s="3201">
        <v>75</v>
      </c>
      <c r="F36" s="3202">
        <v>150</v>
      </c>
      <c r="G36" s="3203">
        <v>150</v>
      </c>
      <c r="H36" s="3707">
        <v>75</v>
      </c>
      <c r="I36" s="3708">
        <v>150</v>
      </c>
      <c r="J36" s="3708">
        <v>150</v>
      </c>
      <c r="K36" s="3709">
        <v>150</v>
      </c>
      <c r="L36" s="3710">
        <v>150</v>
      </c>
      <c r="M36">
        <v>75</v>
      </c>
      <c r="N36">
        <v>150</v>
      </c>
      <c r="O36" s="3206">
        <v>150</v>
      </c>
      <c r="P36" s="3597">
        <v>75</v>
      </c>
      <c r="Q36" s="3598">
        <v>150</v>
      </c>
      <c r="R36" s="3599">
        <v>150</v>
      </c>
      <c r="S36" s="3707">
        <v>250</v>
      </c>
      <c r="T36" s="3709">
        <v>250</v>
      </c>
      <c r="U36">
        <v>250</v>
      </c>
      <c r="V36" s="3598">
        <v>250</v>
      </c>
      <c r="W36" s="3597">
        <v>250</v>
      </c>
      <c r="X36">
        <v>250</v>
      </c>
      <c r="Y36" s="3204">
        <v>250</v>
      </c>
      <c r="Z36" s="3202">
        <v>250</v>
      </c>
      <c r="AA36" s="3203">
        <v>250</v>
      </c>
      <c r="AB36">
        <v>250</v>
      </c>
      <c r="AC36" s="3597">
        <v>250</v>
      </c>
      <c r="AD36" s="3599">
        <v>250</v>
      </c>
      <c r="AE36" s="3207"/>
      <c r="AF36" s="3204">
        <v>250</v>
      </c>
      <c r="AG36" s="3202">
        <v>250</v>
      </c>
      <c r="AH36" s="3203">
        <v>250</v>
      </c>
      <c r="AI36" s="3598">
        <v>250</v>
      </c>
      <c r="AJ36" s="3597">
        <v>250</v>
      </c>
      <c r="AK36">
        <v>250</v>
      </c>
      <c r="AL36" s="3208">
        <v>0</v>
      </c>
      <c r="AM36" s="3202">
        <v>0</v>
      </c>
      <c r="AN36" s="3209">
        <v>0</v>
      </c>
      <c r="AO36" s="3598">
        <v>250</v>
      </c>
      <c r="AP36" s="3597">
        <v>250</v>
      </c>
      <c r="AQ36" s="3599">
        <v>250</v>
      </c>
      <c r="AR36" s="3205">
        <v>250</v>
      </c>
      <c r="AS36" s="3202">
        <v>250</v>
      </c>
      <c r="AT36" s="3203">
        <v>250</v>
      </c>
      <c r="AU36" s="3598">
        <v>250</v>
      </c>
      <c r="AV36" s="3597">
        <v>250</v>
      </c>
      <c r="AW36" s="3599">
        <v>250</v>
      </c>
      <c r="AX36" s="3204">
        <v>250</v>
      </c>
      <c r="AY36" s="3202">
        <v>250</v>
      </c>
      <c r="AZ36" s="3203">
        <v>250</v>
      </c>
      <c r="BA36" s="3205">
        <v>250</v>
      </c>
      <c r="BB36" s="3202">
        <v>250</v>
      </c>
      <c r="BC36" s="3203">
        <v>250</v>
      </c>
      <c r="BD36" s="3205">
        <v>250</v>
      </c>
      <c r="BE36" s="3202">
        <v>250</v>
      </c>
      <c r="BF36" s="3203">
        <v>250</v>
      </c>
      <c r="BG36" s="3205">
        <v>250</v>
      </c>
      <c r="BH36" s="3202">
        <v>250</v>
      </c>
      <c r="BI36" s="3203">
        <v>250</v>
      </c>
      <c r="BJ36" s="3209">
        <v>250</v>
      </c>
      <c r="BK36" s="3203">
        <v>250</v>
      </c>
      <c r="BL36" s="3203">
        <v>250</v>
      </c>
      <c r="BM36" s="3203">
        <v>250</v>
      </c>
      <c r="BN36" s="3203">
        <v>250</v>
      </c>
      <c r="BO36" s="3203">
        <v>250</v>
      </c>
      <c r="BP36" s="3206">
        <v>150</v>
      </c>
      <c r="BQ36" s="3206">
        <v>150</v>
      </c>
      <c r="BR36" s="3203">
        <v>0</v>
      </c>
      <c r="BS36" s="3203">
        <v>0</v>
      </c>
      <c r="BT36" s="3203">
        <v>0</v>
      </c>
      <c r="BU36" s="3203">
        <v>250</v>
      </c>
      <c r="BV36" s="3203">
        <v>250</v>
      </c>
      <c r="BW36" s="3203">
        <v>250</v>
      </c>
      <c r="BX36" s="3203">
        <v>250</v>
      </c>
      <c r="BY36" s="3203">
        <v>250</v>
      </c>
      <c r="BZ36" s="3203">
        <v>250</v>
      </c>
      <c r="CA36" s="3203">
        <v>250</v>
      </c>
      <c r="CB36" s="3203">
        <v>250</v>
      </c>
      <c r="CC36" s="3203">
        <v>250</v>
      </c>
      <c r="CD36" s="3203">
        <v>250</v>
      </c>
      <c r="CE36" s="3203">
        <v>250</v>
      </c>
      <c r="CF36" s="3203">
        <v>250</v>
      </c>
      <c r="CG36" s="3203">
        <v>250</v>
      </c>
      <c r="CH36" s="3203">
        <v>250</v>
      </c>
      <c r="CI36" s="3203">
        <v>250</v>
      </c>
      <c r="CJ36" s="3203">
        <v>250</v>
      </c>
      <c r="CK36" s="3203">
        <v>250</v>
      </c>
      <c r="CL36" s="3203">
        <v>250</v>
      </c>
      <c r="CM36" s="3203">
        <v>250</v>
      </c>
      <c r="CN36" s="3203">
        <v>250</v>
      </c>
      <c r="CO36" s="3203">
        <v>250</v>
      </c>
    </row>
    <row r="37" spans="2:93" ht="16.5" x14ac:dyDescent="0.2">
      <c r="B37" s="3261" t="s">
        <v>1415</v>
      </c>
      <c r="C37" s="3262"/>
      <c r="D37" s="3382" t="s">
        <v>1058</v>
      </c>
      <c r="E37" s="3201">
        <v>117.6</v>
      </c>
      <c r="F37" s="3202">
        <v>117.6</v>
      </c>
      <c r="G37" s="3203">
        <v>117.6</v>
      </c>
      <c r="H37" s="3707">
        <v>117.6</v>
      </c>
      <c r="I37" s="3708">
        <v>117.6</v>
      </c>
      <c r="J37" s="3708">
        <v>117.6</v>
      </c>
      <c r="K37" s="3709">
        <v>117.6</v>
      </c>
      <c r="L37" s="3710">
        <v>117.6</v>
      </c>
      <c r="M37">
        <v>117.6</v>
      </c>
      <c r="N37">
        <v>117.6</v>
      </c>
      <c r="O37" s="3206">
        <v>117.6</v>
      </c>
      <c r="P37" s="3597">
        <v>117.6</v>
      </c>
      <c r="Q37" s="3598">
        <v>117.6</v>
      </c>
      <c r="R37" s="3599">
        <v>117.6</v>
      </c>
      <c r="S37" s="3707">
        <v>117.6</v>
      </c>
      <c r="T37" s="3709">
        <v>117.6</v>
      </c>
      <c r="U37">
        <v>117.6</v>
      </c>
      <c r="V37" s="3598">
        <v>117.6</v>
      </c>
      <c r="W37" s="3597">
        <v>117.6</v>
      </c>
      <c r="X37">
        <v>117.6</v>
      </c>
      <c r="Y37" s="3204">
        <v>117.6</v>
      </c>
      <c r="Z37" s="3202">
        <v>117.6</v>
      </c>
      <c r="AA37" s="3203">
        <v>117.6</v>
      </c>
      <c r="AB37">
        <v>117.6</v>
      </c>
      <c r="AC37" s="3597">
        <v>117.6</v>
      </c>
      <c r="AD37" s="3599">
        <v>117.6</v>
      </c>
      <c r="AE37" s="3207"/>
      <c r="AF37" s="3204">
        <v>117.6</v>
      </c>
      <c r="AG37" s="3202">
        <v>117.6</v>
      </c>
      <c r="AH37" s="3203">
        <v>117.6</v>
      </c>
      <c r="AI37" s="3598">
        <v>117.6</v>
      </c>
      <c r="AJ37" s="3597">
        <v>117.6</v>
      </c>
      <c r="AK37">
        <v>117.6</v>
      </c>
      <c r="AL37" s="3208">
        <v>0</v>
      </c>
      <c r="AM37" s="3202">
        <v>0</v>
      </c>
      <c r="AN37" s="3209">
        <v>0</v>
      </c>
      <c r="AO37" s="3598">
        <v>117.6</v>
      </c>
      <c r="AP37" s="3597">
        <v>117.6</v>
      </c>
      <c r="AQ37" s="3599">
        <v>117.6</v>
      </c>
      <c r="AR37" s="3205">
        <v>117.6</v>
      </c>
      <c r="AS37" s="3202">
        <v>117.6</v>
      </c>
      <c r="AT37" s="3203">
        <v>117.6</v>
      </c>
      <c r="AU37" s="3598">
        <v>117.6</v>
      </c>
      <c r="AV37" s="3597">
        <v>117.6</v>
      </c>
      <c r="AW37" s="3599">
        <v>117.6</v>
      </c>
      <c r="AX37" s="3204">
        <v>117.6</v>
      </c>
      <c r="AY37" s="3202">
        <v>117.6</v>
      </c>
      <c r="AZ37" s="3203">
        <v>117.6</v>
      </c>
      <c r="BA37" s="3205">
        <v>117.6</v>
      </c>
      <c r="BB37" s="3202">
        <v>117.6</v>
      </c>
      <c r="BC37" s="3203">
        <v>117.6</v>
      </c>
      <c r="BD37" s="3205">
        <v>117.6</v>
      </c>
      <c r="BE37" s="3202">
        <v>117.6</v>
      </c>
      <c r="BF37" s="3203">
        <v>117.6</v>
      </c>
      <c r="BG37" s="3205">
        <v>117.6</v>
      </c>
      <c r="BH37" s="3202">
        <v>117.6</v>
      </c>
      <c r="BI37" s="3203">
        <v>117.6</v>
      </c>
      <c r="BJ37" s="3209">
        <v>117.6</v>
      </c>
      <c r="BK37" s="3203">
        <v>117.6</v>
      </c>
      <c r="BL37" s="3203">
        <v>117.6</v>
      </c>
      <c r="BM37" s="3203">
        <v>117.6</v>
      </c>
      <c r="BN37" s="3203">
        <v>117.6</v>
      </c>
      <c r="BO37" s="3203">
        <v>117.6</v>
      </c>
      <c r="BP37" s="3206">
        <v>117.6</v>
      </c>
      <c r="BQ37" s="3206">
        <v>117.6</v>
      </c>
      <c r="BR37" s="3203">
        <v>0</v>
      </c>
      <c r="BS37" s="3203">
        <v>0</v>
      </c>
      <c r="BT37" s="3203">
        <v>0</v>
      </c>
      <c r="BU37" s="3203">
        <v>117.6</v>
      </c>
      <c r="BV37" s="3203">
        <v>117.6</v>
      </c>
      <c r="BW37" s="3203">
        <v>117.6</v>
      </c>
      <c r="BX37" s="3203">
        <v>117.6</v>
      </c>
      <c r="BY37" s="3203">
        <v>117.6</v>
      </c>
      <c r="BZ37" s="3203">
        <v>117.6</v>
      </c>
      <c r="CA37" s="3203">
        <v>117.6</v>
      </c>
      <c r="CB37" s="3203">
        <v>117.6</v>
      </c>
      <c r="CC37" s="3203">
        <v>117.6</v>
      </c>
      <c r="CD37" s="3203">
        <v>117.6</v>
      </c>
      <c r="CE37" s="3203">
        <v>117.6</v>
      </c>
      <c r="CF37" s="3203">
        <v>117.6</v>
      </c>
      <c r="CG37" s="3203">
        <v>117.6</v>
      </c>
      <c r="CH37" s="3203">
        <v>117.6</v>
      </c>
      <c r="CI37" s="3203">
        <v>117.6</v>
      </c>
      <c r="CJ37" s="3203">
        <v>117.6</v>
      </c>
      <c r="CK37" s="3203">
        <v>117.6</v>
      </c>
      <c r="CL37" s="3203">
        <v>117.6</v>
      </c>
      <c r="CM37" s="3203">
        <v>117.6</v>
      </c>
      <c r="CN37" s="3203">
        <v>117.6</v>
      </c>
      <c r="CO37" s="3203">
        <v>117.6</v>
      </c>
    </row>
    <row r="38" spans="2:93" ht="15.75" x14ac:dyDescent="0.2">
      <c r="B38" s="3371" t="s">
        <v>1416</v>
      </c>
      <c r="C38" s="3372"/>
      <c r="D38" s="3383" t="s">
        <v>1058</v>
      </c>
      <c r="E38" s="3384">
        <v>626.3278180976431</v>
      </c>
      <c r="F38" s="3385">
        <v>709.43250559764306</v>
      </c>
      <c r="G38" s="3386">
        <v>779.02204309764306</v>
      </c>
      <c r="H38" s="3763">
        <v>966.67575218855211</v>
      </c>
      <c r="I38" s="3764">
        <v>778.15189999999996</v>
      </c>
      <c r="J38" s="3764">
        <v>1054.2950730759981</v>
      </c>
      <c r="K38" s="3765">
        <v>1184.6875442881192</v>
      </c>
      <c r="L38" s="3766">
        <v>735.62777500000004</v>
      </c>
      <c r="M38">
        <v>746.82858878166633</v>
      </c>
      <c r="N38">
        <v>952.90957034156088</v>
      </c>
      <c r="O38" s="3389">
        <v>976.16453560606067</v>
      </c>
      <c r="P38" s="3642">
        <v>588.65852416666667</v>
      </c>
      <c r="Q38" s="3643">
        <v>686.35427416666664</v>
      </c>
      <c r="R38" s="3644">
        <v>738.32927416666678</v>
      </c>
      <c r="S38" s="3763">
        <v>946.82081219486543</v>
      </c>
      <c r="T38" s="3765">
        <v>974.17413250736547</v>
      </c>
      <c r="U38">
        <v>1001.5274528198655</v>
      </c>
      <c r="V38" s="3643">
        <v>946.82081219486543</v>
      </c>
      <c r="W38" s="3642">
        <v>983.29190594486545</v>
      </c>
      <c r="X38">
        <v>1024.7537809448654</v>
      </c>
      <c r="Y38" s="3387">
        <v>1332.3733405953474</v>
      </c>
      <c r="Z38" s="3385">
        <v>1392.1609039562288</v>
      </c>
      <c r="AA38" s="3386">
        <v>1442.9931697964494</v>
      </c>
      <c r="AB38">
        <v>1129.0961381160084</v>
      </c>
      <c r="AC38" s="3642">
        <v>1178.7284039562287</v>
      </c>
      <c r="AD38" s="3644">
        <v>1244.9741863253748</v>
      </c>
      <c r="AE38" s="3390"/>
      <c r="AF38" s="3387">
        <v>1113.5378500925926</v>
      </c>
      <c r="AG38" s="3385">
        <v>1157.4579713047137</v>
      </c>
      <c r="AH38" s="3386">
        <v>1167.3580925168349</v>
      </c>
      <c r="AI38" s="3643">
        <v>1086.0338743350167</v>
      </c>
      <c r="AJ38" s="3642">
        <v>1138.1890182744107</v>
      </c>
      <c r="AK38">
        <v>1190.3441622138046</v>
      </c>
      <c r="AL38" s="3391">
        <v>95.823000000000008</v>
      </c>
      <c r="AM38" s="3385">
        <v>103.19399999999999</v>
      </c>
      <c r="AN38" s="3392">
        <v>110.56500000000001</v>
      </c>
      <c r="AO38" s="3643">
        <v>1017.0580575925925</v>
      </c>
      <c r="AP38" s="3642">
        <v>1043.9346975925926</v>
      </c>
      <c r="AQ38" s="3644">
        <v>1070.8113375925925</v>
      </c>
      <c r="AR38" s="3388">
        <v>952.38162146011393</v>
      </c>
      <c r="AS38" s="3385">
        <v>969.88548716524213</v>
      </c>
      <c r="AT38" s="3386">
        <v>987.38935287037032</v>
      </c>
      <c r="AU38" s="3643">
        <v>920.22638342592597</v>
      </c>
      <c r="AV38" s="3642">
        <v>934.31591675925927</v>
      </c>
      <c r="AW38" s="3644">
        <v>948.40545009259256</v>
      </c>
      <c r="AX38" s="3387">
        <v>842.96703342592593</v>
      </c>
      <c r="AY38" s="3385">
        <v>842.96703342592593</v>
      </c>
      <c r="AZ38" s="3386">
        <v>842.96703342592593</v>
      </c>
      <c r="BA38" s="3388">
        <v>1121.4713743350167</v>
      </c>
      <c r="BB38" s="3385">
        <v>1184.2701720622895</v>
      </c>
      <c r="BC38" s="3386">
        <v>1246.6437197895621</v>
      </c>
      <c r="BD38" s="3388">
        <v>815.16456759259256</v>
      </c>
      <c r="BE38" s="3385">
        <v>815.16456759259256</v>
      </c>
      <c r="BF38" s="3386">
        <v>815.16456759259256</v>
      </c>
      <c r="BG38" s="3388">
        <v>1048.0986175925925</v>
      </c>
      <c r="BH38" s="3385">
        <v>1089.0534975925925</v>
      </c>
      <c r="BI38" s="3386">
        <v>1130.0083775925925</v>
      </c>
      <c r="BJ38" s="3392">
        <v>957.66091607744113</v>
      </c>
      <c r="BK38" s="3386">
        <v>957.66091607744113</v>
      </c>
      <c r="BL38" s="3386">
        <v>957.66091607744113</v>
      </c>
      <c r="BM38" s="3386">
        <v>1434.4934686342592</v>
      </c>
      <c r="BN38" s="3386">
        <v>1476.8624700547139</v>
      </c>
      <c r="BO38" s="3386">
        <v>1515.8036987478956</v>
      </c>
      <c r="BP38" s="3389">
        <v>506.98478703703699</v>
      </c>
      <c r="BQ38" s="3389">
        <v>873.34761708754206</v>
      </c>
      <c r="BR38" s="3386">
        <v>179.87508</v>
      </c>
      <c r="BS38" s="3386">
        <v>192.71649600000001</v>
      </c>
      <c r="BT38" s="3386">
        <v>205.55791200000002</v>
      </c>
      <c r="BU38" s="3386">
        <v>1280.5110705227</v>
      </c>
      <c r="BV38" s="3386">
        <v>1325.1473043936676</v>
      </c>
      <c r="BW38" s="3386">
        <v>1379.0090866517323</v>
      </c>
      <c r="BX38" s="3386">
        <v>1106.4018084259258</v>
      </c>
      <c r="BY38" s="3386">
        <v>1181.3218959259257</v>
      </c>
      <c r="BZ38" s="3386">
        <v>1256.2419834259258</v>
      </c>
      <c r="CA38" s="3386">
        <v>1091.4300114259258</v>
      </c>
      <c r="CB38" s="3386">
        <v>1146.5058434259258</v>
      </c>
      <c r="CC38" s="3386">
        <v>1201.5816754259258</v>
      </c>
      <c r="CD38" s="3386">
        <v>1106.4018084259258</v>
      </c>
      <c r="CE38" s="3386">
        <v>1181.3218959259257</v>
      </c>
      <c r="CF38" s="3386">
        <v>1256.2419834259258</v>
      </c>
      <c r="CG38" s="3386">
        <v>1299.2582221356033</v>
      </c>
      <c r="CH38" s="3386">
        <v>1339.0062318130226</v>
      </c>
      <c r="CI38" s="3386">
        <v>1374.9140866517323</v>
      </c>
      <c r="CJ38" s="3386">
        <v>1106.4018084259258</v>
      </c>
      <c r="CK38" s="3386">
        <v>1181.3218959259257</v>
      </c>
      <c r="CL38" s="3386">
        <v>1256.2419834259258</v>
      </c>
      <c r="CM38" s="3386">
        <v>994.75573342592588</v>
      </c>
      <c r="CN38" s="3386">
        <v>1068.5180084259257</v>
      </c>
      <c r="CO38" s="3386">
        <v>1142.280283425926</v>
      </c>
    </row>
    <row r="39" spans="2:93" ht="16.5" x14ac:dyDescent="0.2">
      <c r="B39" s="3393"/>
      <c r="C39" s="3394"/>
      <c r="D39" s="3395"/>
      <c r="E39" s="3396"/>
      <c r="F39" s="3396"/>
      <c r="G39" s="3396"/>
      <c r="H39" s="3714"/>
      <c r="I39" s="3714"/>
      <c r="J39" s="3714"/>
      <c r="K39" s="3712"/>
      <c r="L39" s="3714"/>
      <c r="O39" s="3396"/>
      <c r="P39" s="3645"/>
      <c r="Q39" s="3645"/>
      <c r="R39" s="3646"/>
      <c r="S39"/>
      <c r="T39" s="3714"/>
      <c r="U39" s="3714"/>
      <c r="V39" s="3645"/>
      <c r="W39" s="3645"/>
      <c r="X39" s="3645"/>
      <c r="Y39" s="3396"/>
      <c r="Z39" s="3396"/>
      <c r="AA39" s="3396"/>
      <c r="AB39" s="3645"/>
      <c r="AC39" s="3645"/>
      <c r="AD39" s="3646"/>
      <c r="AE39" s="3222"/>
      <c r="AF39" s="3398"/>
      <c r="AG39" s="3396"/>
      <c r="AH39" s="3396"/>
      <c r="AI39" s="3645"/>
      <c r="AJ39" s="3645"/>
      <c r="AK39" s="3645"/>
      <c r="AL39" s="3396"/>
      <c r="AM39" s="3396"/>
      <c r="AN39" s="3396"/>
      <c r="AO39" s="3645"/>
      <c r="AP39" s="3645"/>
      <c r="AQ39" s="3645"/>
      <c r="AR39" s="3396"/>
      <c r="AS39" s="3396"/>
      <c r="AT39" s="3396"/>
      <c r="AU39" s="3645"/>
      <c r="AV39" s="3645"/>
      <c r="AW39" s="3646"/>
      <c r="AX39" s="3398"/>
      <c r="AY39" s="3396"/>
      <c r="AZ39" s="3396"/>
      <c r="BA39" s="3396"/>
      <c r="BB39" s="3396"/>
      <c r="BC39" s="3396"/>
      <c r="BD39" s="3396"/>
      <c r="BE39" s="3396"/>
      <c r="BF39" s="3396"/>
      <c r="BG39" s="3396"/>
      <c r="BH39" s="3396"/>
      <c r="BI39" s="3397"/>
      <c r="BJ39" s="3396"/>
      <c r="BK39" s="3396"/>
      <c r="BL39" s="3396"/>
      <c r="BM39" s="3396"/>
      <c r="BN39" s="3396"/>
      <c r="BO39" s="3397"/>
      <c r="BP39" s="3398"/>
      <c r="BQ39" s="3397"/>
      <c r="BR39" s="3396"/>
      <c r="BS39" s="3396"/>
      <c r="BT39" s="3396"/>
      <c r="BU39" s="3396"/>
      <c r="BV39" s="3396"/>
      <c r="BW39" s="3396"/>
      <c r="BX39" s="3396"/>
      <c r="BY39" s="3396"/>
      <c r="BZ39" s="3396"/>
      <c r="CA39" s="3396"/>
      <c r="CB39" s="3396"/>
      <c r="CC39" s="3396"/>
      <c r="CD39" s="3396"/>
      <c r="CE39" s="3396"/>
      <c r="CF39" s="3396"/>
      <c r="CG39" s="3396"/>
      <c r="CH39" s="3396"/>
      <c r="CI39" s="3396"/>
      <c r="CJ39" s="3396"/>
      <c r="CK39" s="3396"/>
      <c r="CL39" s="3396"/>
      <c r="CM39" s="3396"/>
      <c r="CN39" s="3396"/>
      <c r="CO39" s="3397"/>
    </row>
    <row r="40" spans="2:93" ht="18" x14ac:dyDescent="0.2">
      <c r="B40" s="3399" t="s">
        <v>1417</v>
      </c>
      <c r="C40" s="3400"/>
      <c r="D40" s="3401" t="s">
        <v>1058</v>
      </c>
      <c r="E40" s="3288">
        <v>0</v>
      </c>
      <c r="F40" s="3289">
        <v>0</v>
      </c>
      <c r="G40" s="3290">
        <v>0</v>
      </c>
      <c r="H40" s="3731">
        <v>0</v>
      </c>
      <c r="I40" s="3732">
        <v>0</v>
      </c>
      <c r="J40" s="3732">
        <v>0</v>
      </c>
      <c r="K40" s="3733">
        <v>0</v>
      </c>
      <c r="L40" s="3734">
        <v>0</v>
      </c>
      <c r="M40">
        <v>0</v>
      </c>
      <c r="N40">
        <v>0</v>
      </c>
      <c r="O40" s="3293">
        <v>0</v>
      </c>
      <c r="P40" s="3617">
        <v>0</v>
      </c>
      <c r="Q40" s="3618">
        <v>0</v>
      </c>
      <c r="R40" s="3619">
        <v>0</v>
      </c>
      <c r="S40" s="3731">
        <v>0</v>
      </c>
      <c r="T40" s="3733">
        <v>0</v>
      </c>
      <c r="U40">
        <v>0</v>
      </c>
      <c r="V40" s="3618">
        <v>0</v>
      </c>
      <c r="W40" s="3617">
        <v>0</v>
      </c>
      <c r="X40">
        <v>0</v>
      </c>
      <c r="Y40" s="3291">
        <v>0</v>
      </c>
      <c r="Z40" s="3289">
        <v>0</v>
      </c>
      <c r="AA40" s="3290">
        <v>0</v>
      </c>
      <c r="AB40">
        <v>0</v>
      </c>
      <c r="AC40" s="3617">
        <v>0</v>
      </c>
      <c r="AD40" s="3619">
        <v>0</v>
      </c>
      <c r="AE40" s="3325"/>
      <c r="AF40" s="3291">
        <v>0</v>
      </c>
      <c r="AG40" s="3289">
        <v>0</v>
      </c>
      <c r="AH40" s="3290">
        <v>0</v>
      </c>
      <c r="AI40" s="3618">
        <v>0</v>
      </c>
      <c r="AJ40" s="3617">
        <v>0</v>
      </c>
      <c r="AK40">
        <v>0</v>
      </c>
      <c r="AL40" s="3402">
        <v>0</v>
      </c>
      <c r="AM40" s="3289">
        <v>0</v>
      </c>
      <c r="AN40" s="3403">
        <v>0</v>
      </c>
      <c r="AO40" s="3618">
        <v>0</v>
      </c>
      <c r="AP40" s="3617">
        <v>0</v>
      </c>
      <c r="AQ40" s="3619">
        <v>0</v>
      </c>
      <c r="AR40" s="3292">
        <v>0</v>
      </c>
      <c r="AS40" s="3289">
        <v>0</v>
      </c>
      <c r="AT40" s="3290">
        <v>0</v>
      </c>
      <c r="AU40" s="3618">
        <v>0</v>
      </c>
      <c r="AV40" s="3617">
        <v>0</v>
      </c>
      <c r="AW40" s="3619">
        <v>0</v>
      </c>
      <c r="AX40" s="3291">
        <v>0</v>
      </c>
      <c r="AY40" s="3289">
        <v>0</v>
      </c>
      <c r="AZ40" s="3290">
        <v>0</v>
      </c>
      <c r="BA40" s="3292">
        <v>0</v>
      </c>
      <c r="BB40" s="3289">
        <v>0</v>
      </c>
      <c r="BC40" s="3290">
        <v>0</v>
      </c>
      <c r="BD40" s="3292">
        <v>0</v>
      </c>
      <c r="BE40" s="3289">
        <v>0</v>
      </c>
      <c r="BF40" s="3290">
        <v>0</v>
      </c>
      <c r="BG40" s="3292">
        <v>0</v>
      </c>
      <c r="BH40" s="3289">
        <v>0</v>
      </c>
      <c r="BI40" s="3290">
        <v>0</v>
      </c>
      <c r="BJ40" s="3403">
        <v>0</v>
      </c>
      <c r="BK40" s="3290">
        <v>0</v>
      </c>
      <c r="BL40" s="3290">
        <v>0</v>
      </c>
      <c r="BM40" s="3290">
        <v>0</v>
      </c>
      <c r="BN40" s="3290">
        <v>0</v>
      </c>
      <c r="BO40" s="3290">
        <v>0</v>
      </c>
      <c r="BP40" s="3293">
        <v>0</v>
      </c>
      <c r="BQ40" s="3293">
        <v>0</v>
      </c>
      <c r="BR40" s="3290">
        <v>0</v>
      </c>
      <c r="BS40" s="3290">
        <v>0</v>
      </c>
      <c r="BT40" s="3290">
        <v>0</v>
      </c>
      <c r="BU40" s="3290">
        <v>0</v>
      </c>
      <c r="BV40" s="3290">
        <v>0</v>
      </c>
      <c r="BW40" s="3290">
        <v>0</v>
      </c>
      <c r="BX40" s="3290">
        <v>0</v>
      </c>
      <c r="BY40" s="3290">
        <v>0</v>
      </c>
      <c r="BZ40" s="3290">
        <v>0</v>
      </c>
      <c r="CA40" s="3290">
        <v>0</v>
      </c>
      <c r="CB40" s="3290">
        <v>0</v>
      </c>
      <c r="CC40" s="3290">
        <v>0</v>
      </c>
      <c r="CD40" s="3290">
        <v>0</v>
      </c>
      <c r="CE40" s="3290">
        <v>0</v>
      </c>
      <c r="CF40" s="3290">
        <v>0</v>
      </c>
      <c r="CG40" s="3290">
        <v>0</v>
      </c>
      <c r="CH40" s="3290">
        <v>0</v>
      </c>
      <c r="CI40" s="3290">
        <v>0</v>
      </c>
      <c r="CJ40" s="3290">
        <v>0</v>
      </c>
      <c r="CK40" s="3290">
        <v>0</v>
      </c>
      <c r="CL40" s="3290">
        <v>0</v>
      </c>
      <c r="CM40" s="3290">
        <v>0</v>
      </c>
      <c r="CN40" s="3290">
        <v>0</v>
      </c>
      <c r="CO40" s="3290">
        <v>0</v>
      </c>
    </row>
    <row r="41" spans="2:93" ht="18" x14ac:dyDescent="0.2">
      <c r="B41" s="3399" t="s">
        <v>87</v>
      </c>
      <c r="C41" s="3400"/>
      <c r="D41" s="3401" t="s">
        <v>1058</v>
      </c>
      <c r="E41" s="3288">
        <v>1098.9096096322651</v>
      </c>
      <c r="F41" s="3289">
        <v>1255.666581484661</v>
      </c>
      <c r="G41" s="3290">
        <v>1691.7834135470514</v>
      </c>
      <c r="H41" s="3731">
        <v>1547.778767548461</v>
      </c>
      <c r="I41" s="3732">
        <v>1643.2559900558135</v>
      </c>
      <c r="J41" s="3732">
        <v>1658.1550223861996</v>
      </c>
      <c r="K41" s="3733">
        <v>2182.0379613167447</v>
      </c>
      <c r="L41" s="3734">
        <v>1770.7485856756402</v>
      </c>
      <c r="M41">
        <v>1245.8404922561951</v>
      </c>
      <c r="N41">
        <v>1659.0062660005769</v>
      </c>
      <c r="O41" s="3293">
        <v>3823.0590760066921</v>
      </c>
      <c r="P41" s="3617">
        <v>898.38560278351997</v>
      </c>
      <c r="Q41" s="3618">
        <v>1259.5071349723933</v>
      </c>
      <c r="R41" s="3619">
        <v>1351.80683445156</v>
      </c>
      <c r="S41" s="3731">
        <v>1580.2934111672494</v>
      </c>
      <c r="T41" s="3733">
        <v>1691.4866824190854</v>
      </c>
      <c r="U41">
        <v>1802.6799536709213</v>
      </c>
      <c r="V41" s="3618">
        <v>1620.2597111672494</v>
      </c>
      <c r="W41" s="3617">
        <v>1779.5566395030305</v>
      </c>
      <c r="X41">
        <v>1964.2644755759889</v>
      </c>
      <c r="Y41" s="3291">
        <v>2099.2680740784526</v>
      </c>
      <c r="Z41" s="3289">
        <v>2287.8787347068742</v>
      </c>
      <c r="AA41" s="3290">
        <v>2467.5340978146346</v>
      </c>
      <c r="AB41">
        <v>1986.6159896583958</v>
      </c>
      <c r="AC41" s="3617">
        <v>2122.5745408584576</v>
      </c>
      <c r="AD41" s="3619">
        <v>2299.4956333591281</v>
      </c>
      <c r="AE41" s="3325"/>
      <c r="AF41" s="3291">
        <v>2287.0296318767582</v>
      </c>
      <c r="AG41" s="3289">
        <v>2438.6658072985015</v>
      </c>
      <c r="AH41" s="3290">
        <v>2532.7932407094449</v>
      </c>
      <c r="AI41" s="3618">
        <v>2253.1778444024403</v>
      </c>
      <c r="AJ41" s="3617">
        <v>2429.5058777701352</v>
      </c>
      <c r="AK41">
        <v>2605.4486447178306</v>
      </c>
      <c r="AL41" s="3402">
        <v>342.99025668066668</v>
      </c>
      <c r="AM41" s="3289">
        <v>386.16906041493337</v>
      </c>
      <c r="AN41" s="3403">
        <v>433.50857519086668</v>
      </c>
      <c r="AO41" s="3618">
        <v>1849.8178924328377</v>
      </c>
      <c r="AP41" s="3617">
        <v>1995.0100691779053</v>
      </c>
      <c r="AQ41" s="3619">
        <v>2104.3188509396396</v>
      </c>
      <c r="AR41" s="3292">
        <v>1998.9798394140194</v>
      </c>
      <c r="AS41" s="3289">
        <v>2093.3507325717642</v>
      </c>
      <c r="AT41" s="3290">
        <v>2187.7216257295086</v>
      </c>
      <c r="AU41" s="3618">
        <v>2033.208375734871</v>
      </c>
      <c r="AV41" s="3617">
        <v>2137.5367792784323</v>
      </c>
      <c r="AW41" s="3619">
        <v>2241.8651828219936</v>
      </c>
      <c r="AX41" s="3291">
        <v>1429.9293219869992</v>
      </c>
      <c r="AY41" s="3289">
        <v>1475.1367169119992</v>
      </c>
      <c r="AZ41" s="3290">
        <v>1520.3441118369992</v>
      </c>
      <c r="BA41" s="3292">
        <v>2014.8128912826032</v>
      </c>
      <c r="BB41" s="3289">
        <v>2160.3895636175093</v>
      </c>
      <c r="BC41" s="3290">
        <v>2305.2950782804055</v>
      </c>
      <c r="BD41" s="3292">
        <v>1234.3103584668061</v>
      </c>
      <c r="BE41" s="3289">
        <v>1307.924144866806</v>
      </c>
      <c r="BF41" s="3290">
        <v>1345.8404104334727</v>
      </c>
      <c r="BG41" s="3292">
        <v>1737.9260075562092</v>
      </c>
      <c r="BH41" s="3289">
        <v>1861.0341604407563</v>
      </c>
      <c r="BI41" s="3290">
        <v>1979.0426674919706</v>
      </c>
      <c r="BJ41" s="3403">
        <v>1294.0237228155679</v>
      </c>
      <c r="BK41" s="3290">
        <v>1321.5079340572345</v>
      </c>
      <c r="BL41" s="3290">
        <v>1348.9921452989013</v>
      </c>
      <c r="BM41" s="3290">
        <v>2159.0214570516123</v>
      </c>
      <c r="BN41" s="3290">
        <v>2265.3646049421118</v>
      </c>
      <c r="BO41" s="3290">
        <v>2368.2799801053379</v>
      </c>
      <c r="BP41" s="3293">
        <v>662.03875126113735</v>
      </c>
      <c r="BQ41" s="3293">
        <v>1348.5963068749813</v>
      </c>
      <c r="BR41" s="3290">
        <v>735.59606764496232</v>
      </c>
      <c r="BS41" s="3290">
        <v>789.89916330581207</v>
      </c>
      <c r="BT41" s="3290">
        <v>844.20225896666204</v>
      </c>
      <c r="BU41" s="3290">
        <v>2580.7449608164789</v>
      </c>
      <c r="BV41" s="3290">
        <v>2708.03004167269</v>
      </c>
      <c r="BW41" s="3290">
        <v>2861.8095542923538</v>
      </c>
      <c r="BX41" s="3290">
        <v>2030.9321928285599</v>
      </c>
      <c r="BY41" s="3290">
        <v>2216.6673275704197</v>
      </c>
      <c r="BZ41" s="3290">
        <v>2402.4024623122796</v>
      </c>
      <c r="CA41" s="3290">
        <v>1884.4988769737975</v>
      </c>
      <c r="CB41" s="3290">
        <v>2013.8469131454972</v>
      </c>
      <c r="CC41" s="3290">
        <v>2143.1949493171969</v>
      </c>
      <c r="CD41" s="3290">
        <v>1905.5360712452266</v>
      </c>
      <c r="CE41" s="3290">
        <v>2076.4028903454196</v>
      </c>
      <c r="CF41" s="3290">
        <v>2247.2697094456125</v>
      </c>
      <c r="CG41" s="3290">
        <v>2533.2343474268441</v>
      </c>
      <c r="CH41" s="3290">
        <v>2699.6416941481066</v>
      </c>
      <c r="CI41" s="3290">
        <v>2826.511365197327</v>
      </c>
      <c r="CJ41" s="3290">
        <v>1905.5360712452266</v>
      </c>
      <c r="CK41" s="3290">
        <v>2076.4028903454196</v>
      </c>
      <c r="CL41" s="3290">
        <v>2247.2697094456125</v>
      </c>
      <c r="CM41" s="3290">
        <v>1965.5916362774883</v>
      </c>
      <c r="CN41" s="3290">
        <v>2121.8987373276814</v>
      </c>
      <c r="CO41" s="3290">
        <v>2278.2058383778744</v>
      </c>
    </row>
    <row r="42" spans="2:93" ht="19.5" x14ac:dyDescent="0.2">
      <c r="B42" s="3404" t="s">
        <v>1418</v>
      </c>
      <c r="C42" s="3405"/>
      <c r="D42" s="3406" t="s">
        <v>1058</v>
      </c>
      <c r="E42" s="3407">
        <v>-1098.9096096322651</v>
      </c>
      <c r="F42" s="3408">
        <v>-1255.666581484661</v>
      </c>
      <c r="G42" s="3409">
        <v>-1691.7834135470514</v>
      </c>
      <c r="H42" s="3767">
        <v>-1547.778767548461</v>
      </c>
      <c r="I42" s="3768">
        <v>-1643.2559900558135</v>
      </c>
      <c r="J42" s="3768">
        <v>-1658.1550223861996</v>
      </c>
      <c r="K42" s="3769">
        <v>-2182.0379613167447</v>
      </c>
      <c r="L42">
        <v>-1770.7485856756402</v>
      </c>
      <c r="M42">
        <v>-1245.8404922561951</v>
      </c>
      <c r="N42">
        <v>-1659.0062660005769</v>
      </c>
      <c r="O42" s="3412">
        <v>-3823.0590760066921</v>
      </c>
      <c r="P42" s="3647">
        <v>-898.38560278351997</v>
      </c>
      <c r="Q42" s="3648">
        <v>-1259.5071349723933</v>
      </c>
      <c r="R42" s="3649">
        <v>-1351.80683445156</v>
      </c>
      <c r="S42" s="3767">
        <v>-1580.2934111672494</v>
      </c>
      <c r="T42" s="3769">
        <v>-1691.4866824190854</v>
      </c>
      <c r="U42">
        <v>-1802.6799536709213</v>
      </c>
      <c r="V42" s="3648">
        <v>-1620.2597111672494</v>
      </c>
      <c r="W42" s="3647">
        <v>-1779.5566395030305</v>
      </c>
      <c r="X42">
        <v>-1964.2644755759889</v>
      </c>
      <c r="Y42" s="3410">
        <v>-2099.2680740784526</v>
      </c>
      <c r="Z42" s="3408">
        <v>-2287.8787347068742</v>
      </c>
      <c r="AA42" s="3409">
        <v>-2467.5340978146346</v>
      </c>
      <c r="AB42">
        <v>-1986.6159896583958</v>
      </c>
      <c r="AC42" s="3647">
        <v>-2122.5745408584576</v>
      </c>
      <c r="AD42" s="3649">
        <v>-2299.4956333591281</v>
      </c>
      <c r="AE42" s="3413"/>
      <c r="AF42" s="3410">
        <v>-2287.0296318767582</v>
      </c>
      <c r="AG42" s="3408">
        <v>-2438.6658072985015</v>
      </c>
      <c r="AH42" s="3409">
        <v>-2532.7932407094449</v>
      </c>
      <c r="AI42" s="3648">
        <v>-2253.1778444024403</v>
      </c>
      <c r="AJ42" s="3647">
        <v>-2429.5058777701352</v>
      </c>
      <c r="AK42">
        <v>-2605.4486447178306</v>
      </c>
      <c r="AL42" s="3414">
        <v>-342.99025668066668</v>
      </c>
      <c r="AM42" s="3408">
        <v>-386.16906041493337</v>
      </c>
      <c r="AN42" s="3415">
        <v>-433.50857519086668</v>
      </c>
      <c r="AO42" s="3648">
        <v>-1849.8178924328377</v>
      </c>
      <c r="AP42" s="3647">
        <v>-1995.0100691779053</v>
      </c>
      <c r="AQ42" s="3649">
        <v>-2104.3188509396396</v>
      </c>
      <c r="AR42" s="3411">
        <v>-1998.9798394140194</v>
      </c>
      <c r="AS42" s="3408">
        <v>-2093.3507325717642</v>
      </c>
      <c r="AT42" s="3409">
        <v>-2187.7216257295086</v>
      </c>
      <c r="AU42" s="3648">
        <v>-2033.208375734871</v>
      </c>
      <c r="AV42" s="3647">
        <v>-2137.5367792784323</v>
      </c>
      <c r="AW42" s="3649">
        <v>-2241.8651828219936</v>
      </c>
      <c r="AX42" s="3410">
        <v>-1429.9293219869992</v>
      </c>
      <c r="AY42" s="3408">
        <v>-1475.1367169119992</v>
      </c>
      <c r="AZ42" s="3409">
        <v>-1520.3441118369992</v>
      </c>
      <c r="BA42" s="3411">
        <v>-2014.8128912826032</v>
      </c>
      <c r="BB42" s="3408">
        <v>-2160.3895636175093</v>
      </c>
      <c r="BC42" s="3409">
        <v>-2305.2950782804055</v>
      </c>
      <c r="BD42" s="3411">
        <v>-1234.3103584668061</v>
      </c>
      <c r="BE42" s="3408">
        <v>-1307.924144866806</v>
      </c>
      <c r="BF42" s="3409">
        <v>-1345.8404104334727</v>
      </c>
      <c r="BG42" s="3411">
        <v>-1737.9260075562092</v>
      </c>
      <c r="BH42" s="3408">
        <v>-1861.0341604407563</v>
      </c>
      <c r="BI42" s="3409">
        <v>-1979.0426674919706</v>
      </c>
      <c r="BJ42" s="3415">
        <v>-1294.0237228155679</v>
      </c>
      <c r="BK42" s="3409">
        <v>-1321.5079340572345</v>
      </c>
      <c r="BL42" s="3409">
        <v>-1348.9921452989013</v>
      </c>
      <c r="BM42" s="3409">
        <v>-2159.0214570516123</v>
      </c>
      <c r="BN42" s="3409">
        <v>-2265.3646049421118</v>
      </c>
      <c r="BO42" s="3409">
        <v>-2368.2799801053379</v>
      </c>
      <c r="BP42" s="3412">
        <v>-662.03875126113735</v>
      </c>
      <c r="BQ42" s="3412">
        <v>-1348.5963068749813</v>
      </c>
      <c r="BR42" s="3412">
        <v>-735.59606764496232</v>
      </c>
      <c r="BS42" s="3409">
        <v>-789.89916330581207</v>
      </c>
      <c r="BT42" s="3409">
        <v>-844.20225896666204</v>
      </c>
      <c r="BU42" s="3409">
        <v>-2580.7449608164789</v>
      </c>
      <c r="BV42" s="3409">
        <v>-2708.03004167269</v>
      </c>
      <c r="BW42" s="3409">
        <v>-2861.8095542923538</v>
      </c>
      <c r="BX42" s="3409">
        <v>-2030.9321928285599</v>
      </c>
      <c r="BY42" s="3409">
        <v>-2216.6673275704197</v>
      </c>
      <c r="BZ42" s="3409">
        <v>-2402.4024623122796</v>
      </c>
      <c r="CA42" s="3409">
        <v>-1884.4988769737975</v>
      </c>
      <c r="CB42" s="3409">
        <v>-2013.8469131454972</v>
      </c>
      <c r="CC42" s="3409">
        <v>-2143.1949493171969</v>
      </c>
      <c r="CD42" s="3409">
        <v>-1905.5360712452266</v>
      </c>
      <c r="CE42" s="3409">
        <v>-2076.4028903454196</v>
      </c>
      <c r="CF42" s="3409">
        <v>-2247.2697094456125</v>
      </c>
      <c r="CG42" s="3409">
        <v>-2533.2343474268441</v>
      </c>
      <c r="CH42" s="3409">
        <v>-2699.6416941481066</v>
      </c>
      <c r="CI42" s="3409">
        <v>-2826.511365197327</v>
      </c>
      <c r="CJ42" s="3409">
        <v>-1905.5360712452266</v>
      </c>
      <c r="CK42" s="3409">
        <v>-2076.4028903454196</v>
      </c>
      <c r="CL42" s="3409">
        <v>-2247.2697094456125</v>
      </c>
      <c r="CM42" s="3409">
        <v>-1965.5916362774883</v>
      </c>
      <c r="CN42" s="3409">
        <v>-2121.8987373276814</v>
      </c>
      <c r="CO42" s="3409">
        <v>-2278.2058383778744</v>
      </c>
    </row>
    <row r="43" spans="2:93" ht="18" x14ac:dyDescent="0.2">
      <c r="B43" s="3416" t="s">
        <v>1419</v>
      </c>
      <c r="C43" s="3417"/>
      <c r="D43" s="3401" t="s">
        <v>1058</v>
      </c>
      <c r="E43" s="3288">
        <v>510</v>
      </c>
      <c r="F43" s="3289">
        <v>330</v>
      </c>
      <c r="G43" s="3290">
        <v>313</v>
      </c>
      <c r="H43" s="3731">
        <v>360</v>
      </c>
      <c r="I43" s="3732">
        <v>330</v>
      </c>
      <c r="J43" s="3732">
        <v>330</v>
      </c>
      <c r="K43" s="3733">
        <v>313</v>
      </c>
      <c r="L43" s="3734">
        <v>330</v>
      </c>
      <c r="M43">
        <v>510</v>
      </c>
      <c r="N43">
        <v>480</v>
      </c>
      <c r="O43" s="3293">
        <v>330</v>
      </c>
      <c r="P43" s="3617">
        <v>510</v>
      </c>
      <c r="Q43" s="3618">
        <v>480</v>
      </c>
      <c r="R43" s="3619">
        <v>480</v>
      </c>
      <c r="S43" s="3731">
        <v>360</v>
      </c>
      <c r="T43" s="3733">
        <v>330</v>
      </c>
      <c r="U43">
        <v>313</v>
      </c>
      <c r="V43" s="3618">
        <v>360</v>
      </c>
      <c r="W43" s="3617">
        <v>330</v>
      </c>
      <c r="X43">
        <v>313</v>
      </c>
      <c r="Y43" s="3291">
        <v>360</v>
      </c>
      <c r="Z43" s="3289">
        <v>330</v>
      </c>
      <c r="AA43" s="3290">
        <v>313</v>
      </c>
      <c r="AB43">
        <v>360</v>
      </c>
      <c r="AC43" s="3617">
        <v>330</v>
      </c>
      <c r="AD43" s="3619">
        <v>313</v>
      </c>
      <c r="AE43" s="3325"/>
      <c r="AF43" s="3291">
        <v>340</v>
      </c>
      <c r="AG43" s="3289">
        <v>340</v>
      </c>
      <c r="AH43" s="3290">
        <v>340</v>
      </c>
      <c r="AI43" s="3618">
        <v>270</v>
      </c>
      <c r="AJ43" s="3617">
        <v>270</v>
      </c>
      <c r="AK43">
        <v>270</v>
      </c>
      <c r="AL43" s="3402">
        <v>0</v>
      </c>
      <c r="AM43" s="3289">
        <v>0</v>
      </c>
      <c r="AN43" s="3403">
        <v>0</v>
      </c>
      <c r="AO43" s="3618">
        <v>270</v>
      </c>
      <c r="AP43" s="3617">
        <v>270</v>
      </c>
      <c r="AQ43" s="3619">
        <v>270</v>
      </c>
      <c r="AR43" s="3292">
        <v>270</v>
      </c>
      <c r="AS43" s="3289">
        <v>270</v>
      </c>
      <c r="AT43" s="3290">
        <v>270</v>
      </c>
      <c r="AU43" s="3618">
        <v>270</v>
      </c>
      <c r="AV43" s="3617">
        <v>270</v>
      </c>
      <c r="AW43" s="3619">
        <v>270</v>
      </c>
      <c r="AX43" s="3291">
        <v>270</v>
      </c>
      <c r="AY43" s="3289">
        <v>270</v>
      </c>
      <c r="AZ43" s="3290">
        <v>270</v>
      </c>
      <c r="BA43" s="3292">
        <v>270</v>
      </c>
      <c r="BB43" s="3289">
        <v>270</v>
      </c>
      <c r="BC43" s="3290">
        <v>270</v>
      </c>
      <c r="BD43" s="3292">
        <v>270</v>
      </c>
      <c r="BE43" s="3289">
        <v>270</v>
      </c>
      <c r="BF43" s="3290">
        <v>270</v>
      </c>
      <c r="BG43" s="3292">
        <v>270</v>
      </c>
      <c r="BH43" s="3289">
        <v>270</v>
      </c>
      <c r="BI43" s="3290">
        <v>270</v>
      </c>
      <c r="BJ43" s="3403">
        <v>360</v>
      </c>
      <c r="BK43" s="3290">
        <v>330</v>
      </c>
      <c r="BL43" s="3290">
        <v>313</v>
      </c>
      <c r="BM43" s="3290">
        <v>360</v>
      </c>
      <c r="BN43" s="3290">
        <v>330</v>
      </c>
      <c r="BO43" s="3290">
        <v>313</v>
      </c>
      <c r="BP43" s="3293">
        <v>313</v>
      </c>
      <c r="BQ43" s="3293">
        <v>313</v>
      </c>
      <c r="BR43" s="3290">
        <v>0</v>
      </c>
      <c r="BS43" s="3290">
        <v>0</v>
      </c>
      <c r="BT43" s="3290">
        <v>0</v>
      </c>
      <c r="BU43" s="3290">
        <v>270</v>
      </c>
      <c r="BV43" s="3290">
        <v>270</v>
      </c>
      <c r="BW43" s="3290">
        <v>270</v>
      </c>
      <c r="BX43" s="3290">
        <v>270</v>
      </c>
      <c r="BY43" s="3290">
        <v>270</v>
      </c>
      <c r="BZ43" s="3290">
        <v>270</v>
      </c>
      <c r="CA43" s="3290">
        <v>270</v>
      </c>
      <c r="CB43" s="3290">
        <v>270</v>
      </c>
      <c r="CC43" s="3290">
        <v>270</v>
      </c>
      <c r="CD43" s="3290">
        <v>270</v>
      </c>
      <c r="CE43" s="3290">
        <v>270</v>
      </c>
      <c r="CF43" s="3290">
        <v>270</v>
      </c>
      <c r="CG43" s="3290">
        <v>270</v>
      </c>
      <c r="CH43" s="3290">
        <v>270</v>
      </c>
      <c r="CI43" s="3290">
        <v>270</v>
      </c>
      <c r="CJ43" s="3290">
        <v>270</v>
      </c>
      <c r="CK43" s="3290">
        <v>270</v>
      </c>
      <c r="CL43" s="3290">
        <v>270</v>
      </c>
      <c r="CM43" s="3290">
        <v>270</v>
      </c>
      <c r="CN43" s="3290">
        <v>270</v>
      </c>
      <c r="CO43" s="3290">
        <v>270</v>
      </c>
    </row>
    <row r="44" spans="2:93" ht="20.25" hidden="1" thickBot="1" x14ac:dyDescent="0.25">
      <c r="B44" s="3418" t="s">
        <v>1420</v>
      </c>
      <c r="C44" s="3419"/>
      <c r="D44" s="3420" t="s">
        <v>1058</v>
      </c>
      <c r="E44" s="3421">
        <v>-588.90960963226507</v>
      </c>
      <c r="F44" s="3422">
        <v>-925.66658148466104</v>
      </c>
      <c r="G44" s="3423">
        <v>-1378.7834135470514</v>
      </c>
      <c r="H44">
        <v>-1187.778767548461</v>
      </c>
      <c r="I44">
        <v>-1313.2559900558135</v>
      </c>
      <c r="J44">
        <v>-1328.1550223861996</v>
      </c>
      <c r="K44">
        <v>-1869.0379613167447</v>
      </c>
      <c r="L44">
        <v>-1440.7485856756402</v>
      </c>
      <c r="M44">
        <v>-735.84049225619515</v>
      </c>
      <c r="N44">
        <v>-1179.0062660005769</v>
      </c>
      <c r="O44" s="3426">
        <v>-3493.0590760066921</v>
      </c>
      <c r="P44" s="3650">
        <v>-388.38560278351997</v>
      </c>
      <c r="Q44" s="3651">
        <v>-779.50713497239326</v>
      </c>
      <c r="R44" s="3652">
        <v>-871.80683445156001</v>
      </c>
      <c r="S44">
        <v>-1220.2934111672494</v>
      </c>
      <c r="T44">
        <v>-1361.4866824190854</v>
      </c>
      <c r="U44">
        <v>-1489.6799536709213</v>
      </c>
      <c r="V44" s="3651">
        <v>-1260.2597111672494</v>
      </c>
      <c r="W44" s="3650">
        <v>-1449.5566395030305</v>
      </c>
      <c r="X44">
        <v>-1651.2644755759889</v>
      </c>
      <c r="Y44" s="3424">
        <v>-1739.2680740784526</v>
      </c>
      <c r="Z44" s="3422">
        <v>-1957.8787347068742</v>
      </c>
      <c r="AA44" s="3423">
        <v>-2154.5340978146346</v>
      </c>
      <c r="AB44">
        <v>-1626.6159896583958</v>
      </c>
      <c r="AC44" s="3650">
        <v>-1792.5745408584576</v>
      </c>
      <c r="AD44" s="3652">
        <v>-1986.4956333591281</v>
      </c>
      <c r="AE44" s="3413"/>
      <c r="AF44" s="3424">
        <v>-1947.0296318767582</v>
      </c>
      <c r="AG44" s="3422">
        <v>-2098.6658072985015</v>
      </c>
      <c r="AH44" s="3423">
        <v>-2192.7932407094449</v>
      </c>
      <c r="AI44" s="3651">
        <v>-1983.1778444024403</v>
      </c>
      <c r="AJ44" s="3650">
        <v>-2159.5058777701352</v>
      </c>
      <c r="AK44">
        <v>-2335.4486447178306</v>
      </c>
      <c r="AL44" s="3427">
        <v>-342.99025668066668</v>
      </c>
      <c r="AM44" s="3422">
        <v>-386.16906041493337</v>
      </c>
      <c r="AN44" s="3428">
        <v>-433.50857519086668</v>
      </c>
      <c r="AO44" s="3651">
        <v>-1579.8178924328377</v>
      </c>
      <c r="AP44" s="3650">
        <v>-1725.0100691779053</v>
      </c>
      <c r="AQ44" s="3652">
        <v>-1834.3188509396396</v>
      </c>
      <c r="AR44" s="3425">
        <v>-1728.9798394140194</v>
      </c>
      <c r="AS44" s="3422">
        <v>-1823.3507325717642</v>
      </c>
      <c r="AT44" s="3423">
        <v>-1917.7216257295086</v>
      </c>
      <c r="AU44" s="3651">
        <v>-1763.208375734871</v>
      </c>
      <c r="AV44" s="3650">
        <v>-1867.5367792784323</v>
      </c>
      <c r="AW44" s="3652">
        <v>-1971.8651828219936</v>
      </c>
      <c r="AX44" s="3424">
        <v>-1159.9293219869992</v>
      </c>
      <c r="AY44" s="3422">
        <v>-1205.1367169119992</v>
      </c>
      <c r="AZ44" s="3423">
        <v>-1250.3441118369992</v>
      </c>
      <c r="BA44" s="3425">
        <v>-1744.8128912826032</v>
      </c>
      <c r="BB44" s="3422">
        <v>-1890.3895636175093</v>
      </c>
      <c r="BC44" s="3423">
        <v>-2035.2950782804055</v>
      </c>
      <c r="BD44" s="3425">
        <v>-964.31035846680606</v>
      </c>
      <c r="BE44" s="3422">
        <v>-1037.924144866806</v>
      </c>
      <c r="BF44" s="3423">
        <v>-1075.8404104334727</v>
      </c>
      <c r="BG44" s="3425">
        <v>-1467.9260075562092</v>
      </c>
      <c r="BH44" s="3422">
        <v>-1591.0341604407563</v>
      </c>
      <c r="BI44" s="3423">
        <v>-1709.0426674919706</v>
      </c>
      <c r="BJ44" s="3428">
        <v>-934.02372281556791</v>
      </c>
      <c r="BK44" s="3423">
        <v>-991.50793405723448</v>
      </c>
      <c r="BL44" s="3423">
        <v>-1035.9921452989013</v>
      </c>
      <c r="BM44" s="3423">
        <v>-1799.0214570516123</v>
      </c>
      <c r="BN44" s="3423">
        <v>-1935.3646049421118</v>
      </c>
      <c r="BO44" s="3423">
        <v>-2055.2799801053379</v>
      </c>
      <c r="BP44" s="3426">
        <v>-349.03875126113735</v>
      </c>
      <c r="BQ44" s="3426">
        <v>-1035.5963068749813</v>
      </c>
      <c r="BR44" s="3423">
        <v>-735.59606764496232</v>
      </c>
      <c r="BS44" s="3423">
        <v>-789.89916330581207</v>
      </c>
      <c r="BT44" s="3423">
        <v>-844.20225896666204</v>
      </c>
      <c r="BU44" s="3423">
        <v>-2310.7449608164789</v>
      </c>
      <c r="BV44" s="3423">
        <v>-2438.03004167269</v>
      </c>
      <c r="BW44" s="3423">
        <v>-2591.8095542923538</v>
      </c>
      <c r="BX44" s="3423">
        <v>-1760.9321928285599</v>
      </c>
      <c r="BY44" s="3423">
        <v>-1946.6673275704197</v>
      </c>
      <c r="BZ44" s="3423">
        <v>-2132.4024623122796</v>
      </c>
      <c r="CA44" s="3423">
        <v>-1614.4988769737975</v>
      </c>
      <c r="CB44" s="3423">
        <v>-1743.8469131454972</v>
      </c>
      <c r="CC44" s="3423">
        <v>-1873.1949493171969</v>
      </c>
      <c r="CD44" s="3423">
        <v>-1635.5360712452266</v>
      </c>
      <c r="CE44" s="3423">
        <v>-1806.4028903454196</v>
      </c>
      <c r="CF44" s="3423">
        <v>-1977.2697094456125</v>
      </c>
      <c r="CG44" s="3423">
        <v>-2263.2343474268441</v>
      </c>
      <c r="CH44" s="3423">
        <v>-2429.6416941481066</v>
      </c>
      <c r="CI44" s="3423">
        <v>-2556.511365197327</v>
      </c>
      <c r="CJ44" s="3423">
        <v>-1635.5360712452266</v>
      </c>
      <c r="CK44" s="3423">
        <v>-1806.4028903454196</v>
      </c>
      <c r="CL44" s="3423">
        <v>-1977.2697094456125</v>
      </c>
      <c r="CM44" s="3423">
        <v>-1695.5916362774883</v>
      </c>
      <c r="CN44" s="3423">
        <v>-1851.8987373276814</v>
      </c>
      <c r="CO44" s="3423">
        <v>-2008.2058383778744</v>
      </c>
    </row>
    <row r="45" spans="2:93" ht="19.5" x14ac:dyDescent="0.2">
      <c r="B45" s="3429" t="s">
        <v>1421</v>
      </c>
      <c r="C45" s="3430"/>
      <c r="D45" s="3431" t="s">
        <v>1058</v>
      </c>
      <c r="E45" s="3432">
        <v>588.90960963226507</v>
      </c>
      <c r="F45" s="3433">
        <v>925.66658148466104</v>
      </c>
      <c r="G45" s="3434">
        <v>1378.7834135470514</v>
      </c>
      <c r="H45">
        <v>1187.778767548461</v>
      </c>
      <c r="I45">
        <v>1313.2559900558135</v>
      </c>
      <c r="J45">
        <v>1328.1550223861996</v>
      </c>
      <c r="K45">
        <v>1869.0379613167447</v>
      </c>
      <c r="L45">
        <v>1440.7485856756402</v>
      </c>
      <c r="M45">
        <v>735.84049225619515</v>
      </c>
      <c r="N45">
        <v>1179.0062660005769</v>
      </c>
      <c r="O45" s="3437">
        <v>3493.0590760066921</v>
      </c>
      <c r="P45" s="3653">
        <v>388.38560278351997</v>
      </c>
      <c r="Q45" s="3654">
        <v>779.50713497239326</v>
      </c>
      <c r="R45" s="3655">
        <v>871.80683445156001</v>
      </c>
      <c r="S45">
        <v>1220.2934111672494</v>
      </c>
      <c r="T45">
        <v>1361.4866824190854</v>
      </c>
      <c r="U45">
        <v>1489.6799536709213</v>
      </c>
      <c r="V45" s="3654">
        <v>1260.2597111672494</v>
      </c>
      <c r="W45" s="3653">
        <v>1449.5566395030305</v>
      </c>
      <c r="X45">
        <v>1651.2644755759889</v>
      </c>
      <c r="Y45" s="3435">
        <v>1739.2680740784526</v>
      </c>
      <c r="Z45" s="3433">
        <v>1957.8787347068742</v>
      </c>
      <c r="AA45" s="3434">
        <v>2154.5340978146346</v>
      </c>
      <c r="AB45">
        <v>1626.6159896583958</v>
      </c>
      <c r="AC45" s="3653">
        <v>1792.5745408584576</v>
      </c>
      <c r="AD45" s="3655">
        <v>1986.4956333591281</v>
      </c>
      <c r="AE45" s="3413"/>
      <c r="AF45" s="3435">
        <v>1947.0296318767582</v>
      </c>
      <c r="AG45" s="3433">
        <v>2098.6658072985015</v>
      </c>
      <c r="AH45" s="3434">
        <v>2192.7932407094449</v>
      </c>
      <c r="AI45" s="3654">
        <v>1983.1778444024403</v>
      </c>
      <c r="AJ45" s="3653">
        <v>2159.5058777701352</v>
      </c>
      <c r="AK45">
        <v>2335.4486447178306</v>
      </c>
      <c r="AL45" s="3438">
        <v>342.99025668066668</v>
      </c>
      <c r="AM45" s="3433">
        <v>386.16906041493337</v>
      </c>
      <c r="AN45" s="3439">
        <v>433.50857519086668</v>
      </c>
      <c r="AO45" s="3654">
        <v>1579.8178924328377</v>
      </c>
      <c r="AP45" s="3653">
        <v>1725.0100691779053</v>
      </c>
      <c r="AQ45" s="3655">
        <v>1834.3188509396396</v>
      </c>
      <c r="AR45" s="3436">
        <v>1728.9798394140194</v>
      </c>
      <c r="AS45" s="3433">
        <v>1823.3507325717642</v>
      </c>
      <c r="AT45" s="3434">
        <v>1917.7216257295086</v>
      </c>
      <c r="AU45" s="3654">
        <v>1763.208375734871</v>
      </c>
      <c r="AV45" s="3653">
        <v>1867.5367792784323</v>
      </c>
      <c r="AW45" s="3655">
        <v>1971.8651828219936</v>
      </c>
      <c r="AX45" s="3435">
        <v>1159.9293219869992</v>
      </c>
      <c r="AY45" s="3433">
        <v>1205.1367169119992</v>
      </c>
      <c r="AZ45" s="3434">
        <v>1250.3441118369992</v>
      </c>
      <c r="BA45" s="3436">
        <v>1744.8128912826032</v>
      </c>
      <c r="BB45" s="3433">
        <v>1890.3895636175093</v>
      </c>
      <c r="BC45" s="3434">
        <v>2035.2950782804055</v>
      </c>
      <c r="BD45" s="3436">
        <v>964.31035846680606</v>
      </c>
      <c r="BE45" s="3433">
        <v>1037.924144866806</v>
      </c>
      <c r="BF45" s="3434">
        <v>1075.8404104334727</v>
      </c>
      <c r="BG45" s="3436">
        <v>1467.9260075562092</v>
      </c>
      <c r="BH45" s="3433">
        <v>1591.0341604407563</v>
      </c>
      <c r="BI45" s="3434">
        <v>1709.0426674919706</v>
      </c>
      <c r="BJ45" s="3439">
        <v>934.02372281556791</v>
      </c>
      <c r="BK45" s="3434">
        <v>991.50793405723448</v>
      </c>
      <c r="BL45" s="3434">
        <v>1035.9921452989013</v>
      </c>
      <c r="BM45" s="3434">
        <v>1799.0214570516123</v>
      </c>
      <c r="BN45" s="3434">
        <v>1935.3646049421118</v>
      </c>
      <c r="BO45" s="3434">
        <v>2055.2799801053379</v>
      </c>
      <c r="BP45" s="3437">
        <v>349.03875126113735</v>
      </c>
      <c r="BQ45" s="3437">
        <v>1035.5963068749813</v>
      </c>
      <c r="BR45" s="3434">
        <v>735.59606764496232</v>
      </c>
      <c r="BS45" s="3434">
        <v>789.89916330581207</v>
      </c>
      <c r="BT45" s="3434">
        <v>844.20225896666204</v>
      </c>
      <c r="BU45" s="3434">
        <v>2310.7449608164789</v>
      </c>
      <c r="BV45" s="3434">
        <v>2438.03004167269</v>
      </c>
      <c r="BW45" s="3434">
        <v>2591.8095542923538</v>
      </c>
      <c r="BX45" s="3434">
        <v>1760.9321928285599</v>
      </c>
      <c r="BY45" s="3434">
        <v>1946.6673275704197</v>
      </c>
      <c r="BZ45" s="3434">
        <v>2132.4024623122796</v>
      </c>
      <c r="CA45" s="3434">
        <v>1614.4988769737975</v>
      </c>
      <c r="CB45" s="3434">
        <v>1743.8469131454972</v>
      </c>
      <c r="CC45" s="3434">
        <v>1873.1949493171969</v>
      </c>
      <c r="CD45" s="3434">
        <v>1635.5360712452266</v>
      </c>
      <c r="CE45" s="3434">
        <v>1806.4028903454196</v>
      </c>
      <c r="CF45" s="3434">
        <v>1977.2697094456125</v>
      </c>
      <c r="CG45" s="3434">
        <v>2263.2343474268441</v>
      </c>
      <c r="CH45" s="3434">
        <v>2429.6416941481066</v>
      </c>
      <c r="CI45" s="3434">
        <v>2556.511365197327</v>
      </c>
      <c r="CJ45" s="3434">
        <v>1635.5360712452266</v>
      </c>
      <c r="CK45" s="3434">
        <v>1806.4028903454196</v>
      </c>
      <c r="CL45" s="3434">
        <v>1977.2697094456125</v>
      </c>
      <c r="CM45" s="3434">
        <v>1695.5916362774883</v>
      </c>
      <c r="CN45" s="3434">
        <v>1851.8987373276814</v>
      </c>
      <c r="CO45" s="3434">
        <v>2008.2058383778744</v>
      </c>
    </row>
    <row r="46" spans="2:93" ht="18" x14ac:dyDescent="0.2">
      <c r="B46" s="3440" t="s">
        <v>1422</v>
      </c>
      <c r="C46" s="3441"/>
      <c r="D46" s="3442" t="s">
        <v>1423</v>
      </c>
      <c r="E46" s="3330">
        <v>1.5940410486286873</v>
      </c>
      <c r="F46" s="3443">
        <v>2.3385261005928277</v>
      </c>
      <c r="G46" s="3444">
        <v>2.3749379372102322</v>
      </c>
      <c r="H46">
        <v>7.1061224673446617</v>
      </c>
      <c r="I46">
        <v>7.3330272223452333</v>
      </c>
      <c r="J46">
        <v>7.4162212153615368</v>
      </c>
      <c r="K46">
        <v>7.1157487851746204</v>
      </c>
      <c r="L46">
        <v>8.0449270205619623</v>
      </c>
      <c r="M46">
        <v>12.622604935388923</v>
      </c>
      <c r="N46">
        <v>16.17973511236659</v>
      </c>
      <c r="O46" s="3448">
        <v>30.083762377091126</v>
      </c>
      <c r="P46" s="3656">
        <v>1.2946186759450666</v>
      </c>
      <c r="Q46" s="3657">
        <v>1.7322380777164295</v>
      </c>
      <c r="R46" s="3658">
        <v>1.7274191147027815</v>
      </c>
      <c r="S46">
        <v>2.2835900092018702</v>
      </c>
      <c r="T46">
        <v>2.1838382875895102</v>
      </c>
      <c r="U46">
        <v>2.0907788823451527</v>
      </c>
      <c r="V46" s="3657">
        <v>2.3583807460439754</v>
      </c>
      <c r="W46" s="3656">
        <v>2.21941686431086</v>
      </c>
      <c r="X46">
        <v>2.0951809364961003</v>
      </c>
      <c r="Y46" s="3445">
        <v>7.6557105694203411</v>
      </c>
      <c r="Z46" s="3443">
        <v>7.0510629947770331</v>
      </c>
      <c r="AA46" s="3444">
        <v>6.5655559987386019</v>
      </c>
      <c r="AB46">
        <v>7.1598515548064965</v>
      </c>
      <c r="AC46" s="3656">
        <v>6.4557399732516352</v>
      </c>
      <c r="AD46" s="3658">
        <v>6.0534889354028545</v>
      </c>
      <c r="AE46" s="3449"/>
      <c r="AF46" s="3445">
        <v>6.5211518770991903</v>
      </c>
      <c r="AG46" s="3443">
        <v>5.947635891129357</v>
      </c>
      <c r="AH46" s="3444">
        <v>5.3858079596372335</v>
      </c>
      <c r="AI46" s="3657">
        <v>6.2129631716868419</v>
      </c>
      <c r="AJ46" s="3656">
        <v>5.5989263100081281</v>
      </c>
      <c r="AK46">
        <v>5.1646365429408014</v>
      </c>
      <c r="AL46" s="3450">
        <v>1.7330034021759999</v>
      </c>
      <c r="AM46" s="3443">
        <v>1.5243515542694739</v>
      </c>
      <c r="AN46" s="3451">
        <v>1.3689744479711581</v>
      </c>
      <c r="AO46" s="3657">
        <v>7.5417968370108008</v>
      </c>
      <c r="AP46" s="3656">
        <v>7.0585036844270075</v>
      </c>
      <c r="AQ46" s="3658">
        <v>6.5675576474745414</v>
      </c>
      <c r="AR46" s="3446">
        <v>10.028454492841789</v>
      </c>
      <c r="AS46" s="3443">
        <v>9.1963703879769536</v>
      </c>
      <c r="AT46" s="3444">
        <v>8.556305691927081</v>
      </c>
      <c r="AU46" s="3657">
        <v>13.678069509818188</v>
      </c>
      <c r="AV46" s="3656">
        <v>12.417767955920219</v>
      </c>
      <c r="AW46" s="3658">
        <v>11.47254179049674</v>
      </c>
      <c r="AX46" s="3445">
        <v>3.3576901425939449</v>
      </c>
      <c r="AY46" s="3443">
        <v>2.7908429233751559</v>
      </c>
      <c r="AZ46" s="3444">
        <v>2.4129447772292969</v>
      </c>
      <c r="BA46" s="3446">
        <v>5.4662057997575282</v>
      </c>
      <c r="BB46" s="3443">
        <v>4.7378184551817277</v>
      </c>
      <c r="BC46" s="3444">
        <v>4.2508251426073631</v>
      </c>
      <c r="BD46" s="3446">
        <v>3.5527223732987592</v>
      </c>
      <c r="BE46" s="3443">
        <v>3.1866092166963345</v>
      </c>
      <c r="BF46" s="3444">
        <v>2.8311589748249282</v>
      </c>
      <c r="BG46" s="3446">
        <v>5.8338627582792419</v>
      </c>
      <c r="BH46" s="3443">
        <v>5.2692681647250259</v>
      </c>
      <c r="BI46" s="3444">
        <v>4.851509797238216</v>
      </c>
      <c r="BJ46" s="3451">
        <v>3.2772762204055015</v>
      </c>
      <c r="BK46" s="3444">
        <v>2.846434260451391</v>
      </c>
      <c r="BL46" s="3444">
        <v>2.5165801100378169</v>
      </c>
      <c r="BM46" s="3444">
        <v>6.9232291499439533</v>
      </c>
      <c r="BN46" s="3444">
        <v>6.2066022041154314</v>
      </c>
      <c r="BO46" s="3444">
        <v>5.649569029313728</v>
      </c>
      <c r="BP46" s="3448">
        <v>1.7145763219845342</v>
      </c>
      <c r="BQ46" s="3448">
        <v>5.782616616393029</v>
      </c>
      <c r="BR46" s="3444">
        <v>4.6625217643596937</v>
      </c>
      <c r="BS46" s="3444">
        <v>4.1722649636979314</v>
      </c>
      <c r="BT46" s="3444">
        <v>3.8220815346538184</v>
      </c>
      <c r="BU46" s="3444">
        <v>5.1246360018107389</v>
      </c>
      <c r="BV46" s="3444">
        <v>4.7928389703153584</v>
      </c>
      <c r="BW46" s="3444">
        <v>4.4003557797832835</v>
      </c>
      <c r="BX46" s="3332">
        <v>5.9793962405044478</v>
      </c>
      <c r="BY46" s="3332">
        <v>5.0846737039843797</v>
      </c>
      <c r="BZ46" s="3332">
        <v>4.5254721186593363</v>
      </c>
      <c r="CA46" s="3332">
        <v>6.1674405317335221</v>
      </c>
      <c r="CB46" s="3332">
        <v>5.329243537626307</v>
      </c>
      <c r="CC46" s="3332">
        <v>4.7704455415548317</v>
      </c>
      <c r="CD46" s="3332">
        <v>5.5536029583878666</v>
      </c>
      <c r="CE46" s="3332">
        <v>4.7183045327031978</v>
      </c>
      <c r="CF46" s="3332">
        <v>4.1962430166502811</v>
      </c>
      <c r="CG46" s="3444">
        <v>4.6963927224477047</v>
      </c>
      <c r="CH46" s="3444">
        <v>4.5375311775261746</v>
      </c>
      <c r="CI46" s="3444">
        <v>4.3404267660396041</v>
      </c>
      <c r="CJ46" s="3444">
        <v>5.5536029583878666</v>
      </c>
      <c r="CK46" s="3444">
        <v>4.7183045327031978</v>
      </c>
      <c r="CL46" s="3444">
        <v>4.1962430166502811</v>
      </c>
      <c r="CM46" s="3444">
        <v>5.7575267785313695</v>
      </c>
      <c r="CN46" s="3444">
        <v>4.8371391859153228</v>
      </c>
      <c r="CO46" s="3444">
        <v>4.2618969405302938</v>
      </c>
    </row>
    <row r="47" spans="2:93" ht="18" x14ac:dyDescent="0.2">
      <c r="B47" s="3452" t="s">
        <v>1424</v>
      </c>
      <c r="C47" s="3453"/>
      <c r="D47" s="3442" t="s">
        <v>1425</v>
      </c>
      <c r="E47" s="3447">
        <v>8.8557836034927071</v>
      </c>
      <c r="F47" s="3443">
        <v>12.991811669960155</v>
      </c>
      <c r="G47" s="3444">
        <v>13.194099651167956</v>
      </c>
      <c r="H47">
        <v>19.205736398228815</v>
      </c>
      <c r="I47">
        <v>19.818992492824954</v>
      </c>
      <c r="J47">
        <v>20.043841122598746</v>
      </c>
      <c r="K47">
        <v>19.231753473444922</v>
      </c>
      <c r="L47">
        <v>21.74304600151881</v>
      </c>
      <c r="M47">
        <v>14.343869244760141</v>
      </c>
      <c r="N47">
        <v>18.386062627689309</v>
      </c>
      <c r="O47" s="3448">
        <v>33.426402641212363</v>
      </c>
      <c r="P47" s="3656">
        <v>8.0913667246566661</v>
      </c>
      <c r="Q47" s="3657">
        <v>10.826487985727685</v>
      </c>
      <c r="R47" s="3658">
        <v>10.796369466892385</v>
      </c>
      <c r="S47">
        <v>14.272437557511688</v>
      </c>
      <c r="T47">
        <v>13.64898929743444</v>
      </c>
      <c r="U47">
        <v>13.067368014657205</v>
      </c>
      <c r="V47" s="3657">
        <v>14.739879662774847</v>
      </c>
      <c r="W47" s="3656">
        <v>13.871355401942875</v>
      </c>
      <c r="X47">
        <v>13.094880853100626</v>
      </c>
      <c r="Y47" s="3445">
        <v>21.873458769772402</v>
      </c>
      <c r="Z47" s="3443">
        <v>20.145894270791523</v>
      </c>
      <c r="AA47" s="3444">
        <v>18.758731424967433</v>
      </c>
      <c r="AB47">
        <v>20.456718728018561</v>
      </c>
      <c r="AC47" s="3656">
        <v>18.44497135214753</v>
      </c>
      <c r="AD47" s="3658">
        <v>17.295682672579584</v>
      </c>
      <c r="AE47" s="3449"/>
      <c r="AF47" s="3445">
        <v>18.631862505997688</v>
      </c>
      <c r="AG47" s="3443">
        <v>16.993245403226734</v>
      </c>
      <c r="AH47" s="3444">
        <v>15.388022741820667</v>
      </c>
      <c r="AI47" s="3657">
        <v>17.751323347676696</v>
      </c>
      <c r="AJ47" s="3656">
        <v>15.996932314308937</v>
      </c>
      <c r="AK47">
        <v>14.75610440840229</v>
      </c>
      <c r="AL47" s="3450">
        <v>14.441695018133334</v>
      </c>
      <c r="AM47" s="3443">
        <v>12.702929618912282</v>
      </c>
      <c r="AN47" s="3451">
        <v>11.40812039975965</v>
      </c>
      <c r="AO47" s="3657">
        <v>18.854492092527003</v>
      </c>
      <c r="AP47" s="3656">
        <v>17.64625921106752</v>
      </c>
      <c r="AQ47" s="3658">
        <v>16.418894118686357</v>
      </c>
      <c r="AR47" s="3446">
        <v>18.57121202378109</v>
      </c>
      <c r="AS47" s="3443">
        <v>17.030315533290658</v>
      </c>
      <c r="AT47" s="3444">
        <v>15.845010540605706</v>
      </c>
      <c r="AU47" s="3657">
        <v>21.043183861258751</v>
      </c>
      <c r="AV47" s="3656">
        <v>19.104258393723413</v>
      </c>
      <c r="AW47" s="3658">
        <v>17.650064293071907</v>
      </c>
      <c r="AX47" s="3445">
        <v>10.174818613921046</v>
      </c>
      <c r="AY47" s="3443">
        <v>8.4570997678035038</v>
      </c>
      <c r="AZ47" s="3444">
        <v>7.3119538703918083</v>
      </c>
      <c r="BA47" s="3446">
        <v>15.617730856450082</v>
      </c>
      <c r="BB47" s="3443">
        <v>13.536624157662079</v>
      </c>
      <c r="BC47" s="3444">
        <v>12.145214693163894</v>
      </c>
      <c r="BD47" s="3446">
        <v>10.150635352282169</v>
      </c>
      <c r="BE47" s="3443">
        <v>9.1045977619895275</v>
      </c>
      <c r="BF47" s="3444">
        <v>8.0890256423569369</v>
      </c>
      <c r="BG47" s="3446">
        <v>15.767196643997952</v>
      </c>
      <c r="BH47" s="3443">
        <v>14.241265310067636</v>
      </c>
      <c r="BI47" s="3444">
        <v>13.112188641184369</v>
      </c>
      <c r="BJ47" s="3451">
        <v>10.924254068018339</v>
      </c>
      <c r="BK47" s="3444">
        <v>9.4881142015046365</v>
      </c>
      <c r="BL47" s="3444">
        <v>8.3886003667927227</v>
      </c>
      <c r="BM47" s="3444">
        <v>20.362438676305743</v>
      </c>
      <c r="BN47" s="3444">
        <v>18.254712365045386</v>
      </c>
      <c r="BO47" s="3444">
        <v>16.616379497981551</v>
      </c>
      <c r="BP47" s="3448">
        <v>4.8987894913843837</v>
      </c>
      <c r="BQ47" s="3448">
        <v>15.628693557818996</v>
      </c>
      <c r="BR47" s="3444">
        <v>16.651863444141764</v>
      </c>
      <c r="BS47" s="3444">
        <v>14.900946298921186</v>
      </c>
      <c r="BT47" s="3444">
        <v>13.650291195192207</v>
      </c>
      <c r="BU47" s="3444">
        <v>15.529200005487088</v>
      </c>
      <c r="BV47" s="3444">
        <v>14.523754455501086</v>
      </c>
      <c r="BW47" s="3444">
        <v>13.334411453888737</v>
      </c>
      <c r="BX47" s="3332">
        <v>19.931320801681494</v>
      </c>
      <c r="BY47" s="3332">
        <v>16.948912346614598</v>
      </c>
      <c r="BZ47" s="3332">
        <v>15.084907062197788</v>
      </c>
      <c r="CA47" s="3332">
        <v>22.842372339753783</v>
      </c>
      <c r="CB47" s="3332">
        <v>19.737939028245584</v>
      </c>
      <c r="CC47" s="3332">
        <v>17.668316820573448</v>
      </c>
      <c r="CD47" s="3332">
        <v>18.512009861292889</v>
      </c>
      <c r="CE47" s="3332">
        <v>15.727681775677327</v>
      </c>
      <c r="CF47" s="3332">
        <v>13.987476722167603</v>
      </c>
      <c r="CG47" s="3444">
        <v>14.231493098326379</v>
      </c>
      <c r="CH47" s="3444">
        <v>13.750094477352047</v>
      </c>
      <c r="CI47" s="3444">
        <v>13.152808381938195</v>
      </c>
      <c r="CJ47" s="3444">
        <v>18.512009861292889</v>
      </c>
      <c r="CK47" s="3444">
        <v>15.727681775677327</v>
      </c>
      <c r="CL47" s="3444">
        <v>13.987476722167603</v>
      </c>
      <c r="CM47" s="3444">
        <v>19.1917559284379</v>
      </c>
      <c r="CN47" s="3444">
        <v>16.123797286384409</v>
      </c>
      <c r="CO47" s="3444">
        <v>14.206323135100979</v>
      </c>
    </row>
    <row r="48" spans="2:93" ht="18" x14ac:dyDescent="0.2">
      <c r="B48" s="3454"/>
      <c r="C48" s="3455"/>
      <c r="D48" s="3456" t="s">
        <v>1426</v>
      </c>
      <c r="E48" s="3457"/>
      <c r="F48" s="3458"/>
      <c r="G48" s="3459"/>
      <c r="H48">
        <v>42.63673480406797</v>
      </c>
      <c r="I48">
        <v>43.998163334071407</v>
      </c>
      <c r="J48">
        <v>44.497327292169231</v>
      </c>
      <c r="K48">
        <v>42.694492711047722</v>
      </c>
      <c r="L48">
        <v>44.247098613090778</v>
      </c>
      <c r="M48">
        <v>22.720688883700056</v>
      </c>
      <c r="N48">
        <v>29.123523202259864</v>
      </c>
      <c r="O48" s="3448">
        <v>0</v>
      </c>
      <c r="P48" s="3659"/>
      <c r="Q48" s="3660"/>
      <c r="R48" s="3661"/>
      <c r="S48"/>
      <c r="T48"/>
      <c r="U48"/>
      <c r="V48" s="3660"/>
      <c r="W48" s="3659"/>
      <c r="X48"/>
      <c r="Y48" s="3445">
        <v>49.762118701232218</v>
      </c>
      <c r="Z48" s="3443">
        <v>45.831909466050718</v>
      </c>
      <c r="AA48" s="3444">
        <v>42.676113991800911</v>
      </c>
      <c r="AB48">
        <v>48.686990572684167</v>
      </c>
      <c r="AC48" s="3656">
        <v>43.899031818111119</v>
      </c>
      <c r="AD48" s="3658">
        <v>41.163724760739413</v>
      </c>
      <c r="AE48" s="3449"/>
      <c r="AF48" s="3445">
        <v>45.648063139694337</v>
      </c>
      <c r="AG48" s="3443">
        <v>41.633451237905504</v>
      </c>
      <c r="AH48" s="3444">
        <v>37.700655717460641</v>
      </c>
      <c r="AI48" s="3657">
        <v>43.490742201807898</v>
      </c>
      <c r="AJ48" s="3656">
        <v>39.1924841700569</v>
      </c>
      <c r="AK48">
        <v>36.152455800585606</v>
      </c>
      <c r="AL48" s="3450"/>
      <c r="AM48" s="3443"/>
      <c r="AN48" s="3451"/>
      <c r="AO48" s="3657">
        <v>49.02167944057021</v>
      </c>
      <c r="AP48" s="3656">
        <v>45.880273948775546</v>
      </c>
      <c r="AQ48" s="3658">
        <v>42.689124708584515</v>
      </c>
      <c r="AR48" s="3446">
        <v>90.256090435576098</v>
      </c>
      <c r="AS48" s="3443">
        <v>82.767333491792598</v>
      </c>
      <c r="AT48" s="3444">
        <v>77.006751227343727</v>
      </c>
      <c r="AU48" s="3657">
        <v>129.94166034327282</v>
      </c>
      <c r="AV48" s="3656">
        <v>117.96879558124209</v>
      </c>
      <c r="AW48" s="3658">
        <v>108.98914700971903</v>
      </c>
      <c r="AX48" s="3445">
        <v>25.437046534802612</v>
      </c>
      <c r="AY48" s="3443">
        <v>21.142749419508757</v>
      </c>
      <c r="AZ48" s="3444">
        <v>18.279884675979524</v>
      </c>
      <c r="BA48" s="3446">
        <v>38.263440598302701</v>
      </c>
      <c r="BB48" s="3443">
        <v>33.164729186272091</v>
      </c>
      <c r="BC48" s="3444">
        <v>29.755775998251547</v>
      </c>
      <c r="BD48" s="3446">
        <v>24.910487777794508</v>
      </c>
      <c r="BE48" s="3443">
        <v>22.343426140392666</v>
      </c>
      <c r="BF48" s="3444">
        <v>19.851129254967788</v>
      </c>
      <c r="BG48" s="3446">
        <v>37.920107928815071</v>
      </c>
      <c r="BH48" s="3443">
        <v>34.250243070712663</v>
      </c>
      <c r="BI48" s="3444">
        <v>31.534813682048398</v>
      </c>
      <c r="BJ48" s="3451">
        <v>25.560405217212796</v>
      </c>
      <c r="BK48" s="3444">
        <v>22.200146776853856</v>
      </c>
      <c r="BL48" s="3444">
        <v>19.627520858216091</v>
      </c>
      <c r="BM48" s="3444">
        <v>47.077958219618885</v>
      </c>
      <c r="BN48" s="3444">
        <v>42.204894987984936</v>
      </c>
      <c r="BO48" s="3444">
        <v>38.41706939933335</v>
      </c>
      <c r="BP48" s="3448">
        <v>11.693884592336918</v>
      </c>
      <c r="BQ48" s="3448">
        <v>34.695699698358183</v>
      </c>
      <c r="BR48" s="3444">
        <v>30.306391468338006</v>
      </c>
      <c r="BS48" s="3444">
        <v>27.119722264036554</v>
      </c>
      <c r="BT48" s="3444">
        <v>24.843529975249819</v>
      </c>
      <c r="BU48" s="3444">
        <v>34.847524812313019</v>
      </c>
      <c r="BV48" s="3444">
        <v>32.591304998144437</v>
      </c>
      <c r="BW48" s="3444">
        <v>29.922419302526325</v>
      </c>
      <c r="BX48" s="3444">
        <v>40.659894435430239</v>
      </c>
      <c r="BY48" s="3444">
        <v>34.575781187093781</v>
      </c>
      <c r="BZ48" s="3444">
        <v>30.773210406883489</v>
      </c>
      <c r="CA48" s="3444">
        <v>43.172083722134659</v>
      </c>
      <c r="CB48" s="3444">
        <v>37.304704763384152</v>
      </c>
      <c r="CC48" s="3444">
        <v>33.393118790883818</v>
      </c>
      <c r="CD48" s="3444">
        <v>37.764500117037485</v>
      </c>
      <c r="CE48" s="3444">
        <v>32.084470822381746</v>
      </c>
      <c r="CF48" s="3444">
        <v>28.534452513221911</v>
      </c>
      <c r="CG48" s="3444">
        <v>31.935470512644393</v>
      </c>
      <c r="CH48" s="3444">
        <v>30.85521200717799</v>
      </c>
      <c r="CI48" s="3444">
        <v>29.514902009069306</v>
      </c>
      <c r="CJ48" s="3444">
        <v>37.764500117037485</v>
      </c>
      <c r="CK48" s="3444">
        <v>32.084470822381746</v>
      </c>
      <c r="CL48" s="3444">
        <v>28.534452513221911</v>
      </c>
      <c r="CM48" s="3444">
        <v>40.302687449719585</v>
      </c>
      <c r="CN48" s="3444">
        <v>33.859974301407263</v>
      </c>
      <c r="CO48" s="3444">
        <v>29.833278583712055</v>
      </c>
    </row>
    <row r="49" spans="2:93" ht="18" x14ac:dyDescent="0.2">
      <c r="B49" s="3460"/>
      <c r="C49" s="3461"/>
      <c r="D49" s="3462" t="s">
        <v>1405</v>
      </c>
      <c r="E49" s="3463">
        <v>0.14686208297666184</v>
      </c>
      <c r="F49" s="3464">
        <v>0.21193820016248213</v>
      </c>
      <c r="G49" s="3465">
        <v>0.21315185219980545</v>
      </c>
      <c r="H49">
        <v>0.33992453802174893</v>
      </c>
      <c r="I49">
        <v>0.33994841325600261</v>
      </c>
      <c r="J49">
        <v>0.34380516505315173</v>
      </c>
      <c r="K49">
        <v>0.31946434341270635</v>
      </c>
      <c r="L49">
        <v>0.37167600002596263</v>
      </c>
      <c r="M49">
        <v>0.28687738489520281</v>
      </c>
      <c r="N49">
        <v>0.33277941407582462</v>
      </c>
      <c r="O49" s="3468">
        <v>0.51267488713515896</v>
      </c>
      <c r="P49" s="3662">
        <v>0.14928720894200492</v>
      </c>
      <c r="Q49" s="3663">
        <v>0.17490287537524529</v>
      </c>
      <c r="R49" s="3664">
        <v>0.17441630802734059</v>
      </c>
      <c r="S49">
        <v>0.23397438618871622</v>
      </c>
      <c r="T49">
        <v>0.22375392290876134</v>
      </c>
      <c r="U49">
        <v>0.21421914778126566</v>
      </c>
      <c r="V49" s="3663">
        <v>0.23396634385356899</v>
      </c>
      <c r="W49" s="3662">
        <v>0.22018024447528375</v>
      </c>
      <c r="X49">
        <v>0.20785525163651788</v>
      </c>
      <c r="Y49" s="3466">
        <v>0.3585812913077443</v>
      </c>
      <c r="Z49" s="3464">
        <v>0.33026056181625446</v>
      </c>
      <c r="AA49" s="3465">
        <v>0.30752018729454811</v>
      </c>
      <c r="AB49">
        <v>0.35270204703480279</v>
      </c>
      <c r="AC49" s="3662">
        <v>0.31801674745081948</v>
      </c>
      <c r="AD49" s="3664">
        <v>0.29820142538930317</v>
      </c>
      <c r="AE49" s="3469"/>
      <c r="AF49" s="3466">
        <v>0.29112285165621382</v>
      </c>
      <c r="AG49" s="3464">
        <v>0.26143454466502664</v>
      </c>
      <c r="AH49" s="3465">
        <v>0.23673881141262562</v>
      </c>
      <c r="AI49" s="3663">
        <v>0.27309728227194918</v>
      </c>
      <c r="AJ49" s="3662">
        <v>0.24237776233801422</v>
      </c>
      <c r="AK49">
        <v>0.22357733952124681</v>
      </c>
      <c r="AL49" s="3470">
        <v>0.22923325425608465</v>
      </c>
      <c r="AM49" s="3464">
        <v>0.20163380347479815</v>
      </c>
      <c r="AN49" s="3471">
        <v>0.18108127618666109</v>
      </c>
      <c r="AO49" s="3663">
        <v>0.32507744987115522</v>
      </c>
      <c r="AP49" s="3662">
        <v>0.2990891391706359</v>
      </c>
      <c r="AQ49" s="3664">
        <v>0.27828634099468397</v>
      </c>
      <c r="AR49" s="3467">
        <v>0.2509623246456904</v>
      </c>
      <c r="AS49" s="3464">
        <v>0.23013939909852238</v>
      </c>
      <c r="AT49" s="3465">
        <v>0.21412176406223923</v>
      </c>
      <c r="AU49" s="3663">
        <v>0.2597923933488735</v>
      </c>
      <c r="AV49" s="3662">
        <v>0.23585504189781994</v>
      </c>
      <c r="AW49" s="3664">
        <v>0.21790202830952973</v>
      </c>
      <c r="AX49" s="3466">
        <v>0.32445212416840069</v>
      </c>
      <c r="AY49" s="3464">
        <v>0.26967792626924436</v>
      </c>
      <c r="AZ49" s="3465">
        <v>0.23316179433647347</v>
      </c>
      <c r="BA49" s="3467">
        <v>0.48805408926406507</v>
      </c>
      <c r="BB49" s="3464">
        <v>0.42301950492693996</v>
      </c>
      <c r="BC49" s="3465">
        <v>0.37953795916137167</v>
      </c>
      <c r="BD49" s="3467">
        <v>0.3452597058599377</v>
      </c>
      <c r="BE49" s="3464">
        <v>0.30968019598603835</v>
      </c>
      <c r="BF49" s="3465">
        <v>0.27513692661078015</v>
      </c>
      <c r="BG49" s="3467">
        <v>0.52557322146659835</v>
      </c>
      <c r="BH49" s="3464">
        <v>0.47470884366892119</v>
      </c>
      <c r="BI49" s="3465">
        <v>0.4370729547061456</v>
      </c>
      <c r="BJ49" s="3471">
        <v>0.40505206036404667</v>
      </c>
      <c r="BK49" s="3465">
        <v>0.35180252879142143</v>
      </c>
      <c r="BL49" s="3465">
        <v>0.31103449635864749</v>
      </c>
      <c r="BM49" s="3465">
        <v>0.70215305780364634</v>
      </c>
      <c r="BN49" s="3465">
        <v>0.62947284017397886</v>
      </c>
      <c r="BO49" s="3465">
        <v>0.57297860337867412</v>
      </c>
      <c r="BP49" s="3468">
        <v>0.18163846834943953</v>
      </c>
      <c r="BQ49" s="3468">
        <v>0.53892046751099998</v>
      </c>
      <c r="BR49" s="3465">
        <v>0.57420218772902631</v>
      </c>
      <c r="BS49" s="3465">
        <v>0.51382573444555812</v>
      </c>
      <c r="BT49" s="3465">
        <v>0.47069969638593823</v>
      </c>
      <c r="BU49" s="3465">
        <v>0.51764000018290302</v>
      </c>
      <c r="BV49" s="3465">
        <v>0.48412514851670285</v>
      </c>
      <c r="BW49" s="3465">
        <v>0.44448038179629124</v>
      </c>
      <c r="BX49" s="3465">
        <v>0.71183288577433912</v>
      </c>
      <c r="BY49" s="3465">
        <v>0.60531829809337856</v>
      </c>
      <c r="BZ49" s="3465">
        <v>0.53874668079277821</v>
      </c>
      <c r="CA49" s="3465">
        <v>0.84601379036125124</v>
      </c>
      <c r="CB49" s="3465">
        <v>0.73103477882391055</v>
      </c>
      <c r="CC49" s="3465">
        <v>0.65438210446568323</v>
      </c>
      <c r="CD49" s="3465">
        <v>0.66114320933188886</v>
      </c>
      <c r="CE49" s="3465">
        <v>0.56170292055990456</v>
      </c>
      <c r="CF49" s="3465">
        <v>0.4995527400774144</v>
      </c>
      <c r="CG49" s="3465">
        <v>0.49074114132159929</v>
      </c>
      <c r="CH49" s="3465">
        <v>0.47414118887420859</v>
      </c>
      <c r="CI49" s="3465">
        <v>0.4535451166185584</v>
      </c>
      <c r="CJ49" s="3465">
        <v>0.66114320933188886</v>
      </c>
      <c r="CK49" s="3465">
        <v>0.56170292055990456</v>
      </c>
      <c r="CL49" s="3465">
        <v>0.4995527400774144</v>
      </c>
      <c r="CM49" s="3465">
        <v>0.85933235500468197</v>
      </c>
      <c r="CN49" s="3465">
        <v>0.72196107252467501</v>
      </c>
      <c r="CO49" s="3465">
        <v>0.63610402097467067</v>
      </c>
    </row>
    <row r="50" spans="2:93" ht="18" x14ac:dyDescent="0.2">
      <c r="B50" s="3472"/>
      <c r="C50" s="3473"/>
      <c r="D50" s="3474" t="s">
        <v>1406</v>
      </c>
      <c r="E50" s="3475">
        <v>8.8117249785997095E-2</v>
      </c>
      <c r="F50" s="3476">
        <v>0.12716292009748928</v>
      </c>
      <c r="G50" s="3477">
        <v>0.12789111131988326</v>
      </c>
      <c r="H50">
        <v>0.20395472281304933</v>
      </c>
      <c r="I50">
        <v>0.20396904795360157</v>
      </c>
      <c r="J50">
        <v>0.20628309903189104</v>
      </c>
      <c r="K50">
        <v>0.1916786060476238</v>
      </c>
      <c r="L50">
        <v>0.22300560001557757</v>
      </c>
      <c r="M50">
        <v>0.17212643093712163</v>
      </c>
      <c r="N50">
        <v>0.19966764844549476</v>
      </c>
      <c r="O50" s="3479">
        <v>0.30760493228109537</v>
      </c>
      <c r="P50" s="3665">
        <v>8.9572325365202946E-2</v>
      </c>
      <c r="Q50" s="3666">
        <v>0.10494172522514718</v>
      </c>
      <c r="R50" s="3667">
        <v>0.10464978481640438</v>
      </c>
      <c r="S50">
        <v>0.14038463171322973</v>
      </c>
      <c r="T50">
        <v>0.13425235374525682</v>
      </c>
      <c r="U50">
        <v>0.12853148866875938</v>
      </c>
      <c r="V50" s="3666">
        <v>0.14037980631214139</v>
      </c>
      <c r="W50" s="3665">
        <v>0.13210814668517024</v>
      </c>
      <c r="X50">
        <v>0.12471315098191071</v>
      </c>
      <c r="Y50" s="3475">
        <v>0.21514877478464658</v>
      </c>
      <c r="Z50" s="3478">
        <v>0.19815633708975269</v>
      </c>
      <c r="AA50" s="3477">
        <v>0.18451211237672888</v>
      </c>
      <c r="AB50">
        <v>0.21162122822088167</v>
      </c>
      <c r="AC50" s="3665">
        <v>0.19081004847049168</v>
      </c>
      <c r="AD50" s="3667">
        <v>0.17892085523358192</v>
      </c>
      <c r="AE50" s="3183"/>
      <c r="AF50" s="3475">
        <v>0.1746737109937283</v>
      </c>
      <c r="AG50" s="3478">
        <v>0.15686072679901597</v>
      </c>
      <c r="AH50" s="3477">
        <v>0.14204328684757539</v>
      </c>
      <c r="AI50" s="3666">
        <v>0.1638583693631695</v>
      </c>
      <c r="AJ50" s="3665">
        <v>0.14542665740280852</v>
      </c>
      <c r="AK50">
        <v>0.13414640371274808</v>
      </c>
      <c r="AL50" s="3480">
        <v>0.13753995255365078</v>
      </c>
      <c r="AM50" s="3478">
        <v>0.12098028208487888</v>
      </c>
      <c r="AN50" s="3481">
        <v>0.10864876571199666</v>
      </c>
      <c r="AO50" s="3666">
        <v>0.19504646992269312</v>
      </c>
      <c r="AP50" s="3665">
        <v>0.17945348350238152</v>
      </c>
      <c r="AQ50" s="3667">
        <v>0.16697180459681038</v>
      </c>
      <c r="AR50" s="3476">
        <v>0.15057739478741422</v>
      </c>
      <c r="AS50" s="3478">
        <v>0.13808363945911342</v>
      </c>
      <c r="AT50" s="3477">
        <v>0.12847305843734355</v>
      </c>
      <c r="AU50" s="3666">
        <v>0.15587543600932408</v>
      </c>
      <c r="AV50" s="3665">
        <v>0.14151302513869196</v>
      </c>
      <c r="AW50" s="3667">
        <v>0.13074121698571783</v>
      </c>
      <c r="AX50" s="3482">
        <v>9.0125590046777972</v>
      </c>
      <c r="AY50" s="3483">
        <v>7.4910535074790099</v>
      </c>
      <c r="AZ50" s="3484">
        <v>6.4767165093464856</v>
      </c>
      <c r="BA50" s="3485">
        <v>13.55705803511292</v>
      </c>
      <c r="BB50" s="3483">
        <v>11.75054180352611</v>
      </c>
      <c r="BC50" s="3484">
        <v>10.542721087815881</v>
      </c>
      <c r="BD50" s="3485">
        <v>9.5905473849982723</v>
      </c>
      <c r="BE50" s="3483">
        <v>8.6022276662788428</v>
      </c>
      <c r="BF50" s="3484">
        <v>7.6426924058550068</v>
      </c>
      <c r="BG50" s="3485">
        <v>14.599256151849959</v>
      </c>
      <c r="BH50" s="3483">
        <v>13.186356768581145</v>
      </c>
      <c r="BI50" s="3484">
        <v>12.140915408504048</v>
      </c>
      <c r="BJ50" s="3486">
        <v>11.25144612122352</v>
      </c>
      <c r="BK50" s="3484">
        <v>9.7722924664283752</v>
      </c>
      <c r="BL50" s="3484">
        <v>8.6398471210735419</v>
      </c>
      <c r="BM50" s="3484">
        <v>19.504251605656844</v>
      </c>
      <c r="BN50" s="3484">
        <v>17.485356671499414</v>
      </c>
      <c r="BO50" s="3484">
        <v>15.916072316074285</v>
      </c>
      <c r="BP50" s="3487">
        <v>5.0455130097066547</v>
      </c>
      <c r="BQ50" s="3487">
        <v>14.970012986416668</v>
      </c>
      <c r="BR50" s="3484">
        <v>15.950060770250733</v>
      </c>
      <c r="BS50" s="3484">
        <v>14.272937067932173</v>
      </c>
      <c r="BT50" s="3484">
        <v>13.074991566276063</v>
      </c>
      <c r="BU50" s="3484">
        <v>14.378888893969529</v>
      </c>
      <c r="BV50" s="3484">
        <v>13.447920792130637</v>
      </c>
      <c r="BW50" s="3484">
        <v>12.346677272119203</v>
      </c>
      <c r="BX50" s="3484">
        <v>19.773135715953863</v>
      </c>
      <c r="BY50" s="3484">
        <v>16.814397169260513</v>
      </c>
      <c r="BZ50" s="3484">
        <v>14.965185577577172</v>
      </c>
      <c r="CA50" s="3484">
        <v>23.500383065590309</v>
      </c>
      <c r="CB50" s="3484">
        <v>20.306521633997512</v>
      </c>
      <c r="CC50" s="3484">
        <v>18.177280679602312</v>
      </c>
      <c r="CD50" s="3484">
        <v>18.365089148108023</v>
      </c>
      <c r="CE50" s="3484">
        <v>15.602858904441794</v>
      </c>
      <c r="CF50" s="3484">
        <v>13.8764650021504</v>
      </c>
      <c r="CG50" s="3484">
        <v>13.631698370044427</v>
      </c>
      <c r="CH50" s="3484">
        <v>13.170588579839128</v>
      </c>
      <c r="CI50" s="3484">
        <v>12.598475461626625</v>
      </c>
      <c r="CJ50" s="3484">
        <v>18.365089148108023</v>
      </c>
      <c r="CK50" s="3484">
        <v>15.602858904441794</v>
      </c>
      <c r="CL50" s="3484">
        <v>13.8764650021504</v>
      </c>
      <c r="CM50" s="3484">
        <v>23.870343194574499</v>
      </c>
      <c r="CN50" s="3484">
        <v>20.054474236796526</v>
      </c>
      <c r="CO50" s="3484">
        <v>17.669556138185296</v>
      </c>
    </row>
    <row r="51" spans="2:93" ht="16.5" x14ac:dyDescent="0.2">
      <c r="B51" s="3488" t="s">
        <v>1427</v>
      </c>
      <c r="C51" s="3489"/>
      <c r="D51" s="3490" t="s">
        <v>1058</v>
      </c>
      <c r="E51" s="3216">
        <v>588.90960963226507</v>
      </c>
      <c r="F51" s="3217">
        <v>925.66658148466104</v>
      </c>
      <c r="G51" s="3218">
        <v>1378.7834135470514</v>
      </c>
      <c r="H51" s="3711">
        <v>1102.0491842151278</v>
      </c>
      <c r="I51" s="3712">
        <v>1221.4028650558134</v>
      </c>
      <c r="J51" s="3712">
        <v>1236.3018973861995</v>
      </c>
      <c r="K51" s="3713">
        <v>1734.320044650078</v>
      </c>
      <c r="L51" s="3714">
        <v>1440.7485856756402</v>
      </c>
      <c r="M51">
        <v>627.70270155852074</v>
      </c>
      <c r="N51">
        <v>1043.8340276284839</v>
      </c>
      <c r="O51" s="3221">
        <v>3433.1844463770626</v>
      </c>
      <c r="P51" s="3600">
        <v>388.38560278351997</v>
      </c>
      <c r="Q51" s="3601">
        <v>779.50713497239326</v>
      </c>
      <c r="R51" s="3602">
        <v>871.80683445156001</v>
      </c>
      <c r="S51" s="3711">
        <v>1220.2934111672494</v>
      </c>
      <c r="T51" s="3713">
        <v>1361.4866824190854</v>
      </c>
      <c r="U51">
        <v>1489.6799536709213</v>
      </c>
      <c r="V51" s="3601">
        <v>1260.2597111672494</v>
      </c>
      <c r="W51" s="3600">
        <v>1449.5566395030305</v>
      </c>
      <c r="X51" s="3645">
        <v>1651.2644755759889</v>
      </c>
      <c r="Y51" s="3219">
        <v>1636.1175058966344</v>
      </c>
      <c r="Z51" s="3217">
        <v>1831.8058180402074</v>
      </c>
      <c r="AA51" s="3218">
        <v>2005.5388326631194</v>
      </c>
      <c r="AB51">
        <v>1523.4654214765776</v>
      </c>
      <c r="AC51" s="3600">
        <v>1666.5016241917908</v>
      </c>
      <c r="AD51" s="3602">
        <v>1837.5003682076128</v>
      </c>
      <c r="AE51" s="3222"/>
      <c r="AF51" s="3219">
        <v>1818.1129652100915</v>
      </c>
      <c r="AG51" s="3217">
        <v>1946.309746692441</v>
      </c>
      <c r="AH51" s="3218">
        <v>2016.9977861639904</v>
      </c>
      <c r="AI51" s="3601">
        <v>1849.573298947895</v>
      </c>
      <c r="AJ51" s="3600">
        <v>1998.0670520125595</v>
      </c>
      <c r="AK51">
        <v>2146.1755386572245</v>
      </c>
      <c r="AL51" s="3223">
        <v>342.99025668066668</v>
      </c>
      <c r="AM51" s="3217">
        <v>386.16906041493337</v>
      </c>
      <c r="AN51" s="3224">
        <v>433.50857519086668</v>
      </c>
      <c r="AO51" s="3601">
        <v>1490.7910174328376</v>
      </c>
      <c r="AP51" s="3600">
        <v>1621.1453816779053</v>
      </c>
      <c r="AQ51" s="3602">
        <v>1715.6163509396397</v>
      </c>
      <c r="AR51" s="3220">
        <v>1674.0249783029083</v>
      </c>
      <c r="AS51" s="3217">
        <v>1760.1526422939864</v>
      </c>
      <c r="AT51" s="3218">
        <v>1846.2803062850642</v>
      </c>
      <c r="AU51" s="3601">
        <v>1724.533375734871</v>
      </c>
      <c r="AV51" s="3600">
        <v>1822.4159459450989</v>
      </c>
      <c r="AW51" s="3602">
        <v>1920.298516155327</v>
      </c>
      <c r="AX51" s="3219">
        <v>1159.9293219869992</v>
      </c>
      <c r="AY51" s="3217">
        <v>1205.1367169119992</v>
      </c>
      <c r="AZ51" s="3218">
        <v>1250.3441118369992</v>
      </c>
      <c r="BA51" s="3220">
        <v>1611.2083458280579</v>
      </c>
      <c r="BB51" s="3217">
        <v>1723.3838817993276</v>
      </c>
      <c r="BC51" s="3218">
        <v>1834.8882600985874</v>
      </c>
      <c r="BD51" s="3220">
        <v>964.31035846680606</v>
      </c>
      <c r="BE51" s="3217">
        <v>1037.924144866806</v>
      </c>
      <c r="BF51" s="3218">
        <v>1075.8404104334727</v>
      </c>
      <c r="BG51" s="3220">
        <v>1354.8760075562093</v>
      </c>
      <c r="BH51" s="3217">
        <v>1455.3741604407562</v>
      </c>
      <c r="BI51" s="3218">
        <v>1550.7726674919707</v>
      </c>
      <c r="BJ51" s="3224">
        <v>934.02372281556791</v>
      </c>
      <c r="BK51" s="3218">
        <v>991.50793405723448</v>
      </c>
      <c r="BL51" s="3218">
        <v>1035.9921452989013</v>
      </c>
      <c r="BM51" s="3218">
        <v>1680.8280976766123</v>
      </c>
      <c r="BN51" s="3218">
        <v>1793.5325736921118</v>
      </c>
      <c r="BO51" s="3218">
        <v>1889.8092769803379</v>
      </c>
      <c r="BP51" s="3221">
        <v>349.03875126113735</v>
      </c>
      <c r="BQ51" s="3221">
        <v>943.74318187498136</v>
      </c>
      <c r="BR51" s="3218">
        <v>735.59606764496232</v>
      </c>
      <c r="BS51" s="3218">
        <v>789.89916330581207</v>
      </c>
      <c r="BT51" s="3218">
        <v>844.20225896666204</v>
      </c>
      <c r="BU51" s="3218">
        <v>2105.2610898487369</v>
      </c>
      <c r="BV51" s="3218">
        <v>2206.2185497372061</v>
      </c>
      <c r="BW51" s="3218">
        <v>2323.3962478407411</v>
      </c>
      <c r="BX51" s="3218">
        <v>1625.8540678285599</v>
      </c>
      <c r="BY51" s="3218">
        <v>1771.0657650704197</v>
      </c>
      <c r="BZ51" s="3218">
        <v>1916.2774623122796</v>
      </c>
      <c r="CA51" s="3218">
        <v>1496.9268769737976</v>
      </c>
      <c r="CB51" s="3218">
        <v>1596.8819131454973</v>
      </c>
      <c r="CC51" s="3218">
        <v>1696.836949317197</v>
      </c>
      <c r="CD51" s="3218">
        <v>1500.4579462452266</v>
      </c>
      <c r="CE51" s="3218">
        <v>1630.8013278454196</v>
      </c>
      <c r="CF51" s="3218">
        <v>1761.1447094456125</v>
      </c>
      <c r="CG51" s="3218">
        <v>2043.62346033007</v>
      </c>
      <c r="CH51" s="3218">
        <v>2185.6295973739129</v>
      </c>
      <c r="CI51" s="3218">
        <v>2288.0980587457143</v>
      </c>
      <c r="CJ51" s="3218">
        <v>1500.4579462452266</v>
      </c>
      <c r="CK51" s="3218">
        <v>1630.8013278454196</v>
      </c>
      <c r="CL51" s="3218">
        <v>1761.1447094456125</v>
      </c>
      <c r="CM51" s="3218">
        <v>1564.3728862774883</v>
      </c>
      <c r="CN51" s="3218">
        <v>1681.3143623276815</v>
      </c>
      <c r="CO51" s="3218">
        <v>1798.2558383778744</v>
      </c>
    </row>
    <row r="52" spans="2:93" ht="16.5" x14ac:dyDescent="0.2">
      <c r="B52" s="3488" t="s">
        <v>1428</v>
      </c>
      <c r="C52" s="3489"/>
      <c r="D52" s="3490" t="s">
        <v>1048</v>
      </c>
      <c r="E52" s="3491">
        <v>0.14686208297666184</v>
      </c>
      <c r="F52" s="3492">
        <v>0.21193820016248213</v>
      </c>
      <c r="G52" s="3493">
        <v>0.21315185219980545</v>
      </c>
      <c r="H52">
        <v>0.31539001205987499</v>
      </c>
      <c r="I52">
        <v>0.31617138552279717</v>
      </c>
      <c r="J52">
        <v>0.32002813731994628</v>
      </c>
      <c r="K52">
        <v>0.29643775343187778</v>
      </c>
      <c r="L52">
        <v>0.37167600002596263</v>
      </c>
      <c r="M52">
        <v>0.24471840216706461</v>
      </c>
      <c r="N52">
        <v>0.29462648852999818</v>
      </c>
      <c r="O52" s="3496">
        <v>0.5038871116295921</v>
      </c>
      <c r="P52" s="3668">
        <v>0.14928720894200492</v>
      </c>
      <c r="Q52" s="3669">
        <v>0.17490287537524529</v>
      </c>
      <c r="R52" s="3670">
        <v>0.17441630802734059</v>
      </c>
      <c r="S52">
        <v>0.23397438618871622</v>
      </c>
      <c r="T52">
        <v>0.22375392290876134</v>
      </c>
      <c r="U52">
        <v>0.21421914778126566</v>
      </c>
      <c r="V52" s="3669">
        <v>0.23396634385356899</v>
      </c>
      <c r="W52" s="3668">
        <v>0.22018024447528375</v>
      </c>
      <c r="X52">
        <v>0.20785525163651788</v>
      </c>
      <c r="Y52" s="3494">
        <v>0.33731495261676259</v>
      </c>
      <c r="Z52" s="3492">
        <v>0.30899422312527275</v>
      </c>
      <c r="AA52" s="3493">
        <v>0.28625384860356634</v>
      </c>
      <c r="AB52">
        <v>0.33033572530808059</v>
      </c>
      <c r="AC52" s="3668">
        <v>0.29565042572409728</v>
      </c>
      <c r="AD52" s="3670">
        <v>0.27583510366258096</v>
      </c>
      <c r="AE52" s="3497"/>
      <c r="AF52" s="3494">
        <v>0.27184703427184381</v>
      </c>
      <c r="AG52" s="3492">
        <v>0.24245527831733926</v>
      </c>
      <c r="AH52" s="3493">
        <v>0.21775954506493825</v>
      </c>
      <c r="AI52" s="3669">
        <v>0.25469901387368077</v>
      </c>
      <c r="AJ52" s="3668">
        <v>0.22425825558214385</v>
      </c>
      <c r="AK52">
        <v>0.20545783276537641</v>
      </c>
      <c r="AL52" s="3498">
        <v>0.22923325425608465</v>
      </c>
      <c r="AM52" s="3492">
        <v>0.20163380347479815</v>
      </c>
      <c r="AN52" s="3499">
        <v>0.18108127618666109</v>
      </c>
      <c r="AO52" s="3669">
        <v>0.30675848435391384</v>
      </c>
      <c r="AP52" s="3668">
        <v>0.2810806645943647</v>
      </c>
      <c r="AQ52" s="3670">
        <v>0.26027786641841277</v>
      </c>
      <c r="AR52" s="3495">
        <v>0.24298559791896368</v>
      </c>
      <c r="AS52" s="3492">
        <v>0.22216267237179566</v>
      </c>
      <c r="AT52" s="3493">
        <v>0.20614503733551251</v>
      </c>
      <c r="AU52" s="3669">
        <v>0.25409399096431123</v>
      </c>
      <c r="AV52" s="3668">
        <v>0.23015663951325771</v>
      </c>
      <c r="AW52" s="3670">
        <v>0.21220362592496753</v>
      </c>
      <c r="AX52" s="3494">
        <v>0.32445212416840069</v>
      </c>
      <c r="AY52" s="3492">
        <v>0.26967792626924436</v>
      </c>
      <c r="AZ52" s="3493">
        <v>0.23316179433647347</v>
      </c>
      <c r="BA52" s="3495">
        <v>0.45068260658008241</v>
      </c>
      <c r="BB52" s="3492">
        <v>0.3856480222429573</v>
      </c>
      <c r="BC52" s="3493">
        <v>0.34216647647738901</v>
      </c>
      <c r="BD52" s="3495">
        <v>0.3452597058599377</v>
      </c>
      <c r="BE52" s="3492">
        <v>0.30968019598603835</v>
      </c>
      <c r="BF52" s="3493">
        <v>0.27513692661078015</v>
      </c>
      <c r="BG52" s="3495">
        <v>0.48509703099040791</v>
      </c>
      <c r="BH52" s="3492">
        <v>0.43423265319273069</v>
      </c>
      <c r="BI52" s="3493">
        <v>0.3965967642299551</v>
      </c>
      <c r="BJ52" s="3499">
        <v>0.40505206036404667</v>
      </c>
      <c r="BK52" s="3493">
        <v>0.35180252879142143</v>
      </c>
      <c r="BL52" s="3493">
        <v>0.31103449635864749</v>
      </c>
      <c r="BM52" s="3493">
        <v>0.65602251924228183</v>
      </c>
      <c r="BN52" s="3493">
        <v>0.58334230161261436</v>
      </c>
      <c r="BO52" s="3493">
        <v>0.52684806481730972</v>
      </c>
      <c r="BP52" s="3496">
        <v>0.18163846834943953</v>
      </c>
      <c r="BQ52" s="3496">
        <v>0.49112044279217654</v>
      </c>
      <c r="BR52" s="3493">
        <v>0.57420218772902631</v>
      </c>
      <c r="BS52" s="3493">
        <v>0.51382573444555812</v>
      </c>
      <c r="BT52" s="3493">
        <v>0.47069969638593823</v>
      </c>
      <c r="BU52" s="3493">
        <v>0.47160866708081023</v>
      </c>
      <c r="BV52" s="3493">
        <v>0.43809381541461012</v>
      </c>
      <c r="BW52" s="3493">
        <v>0.3984490486941985</v>
      </c>
      <c r="BX52" s="3493">
        <v>0.65722939115068324</v>
      </c>
      <c r="BY52" s="3493">
        <v>0.55071480346972257</v>
      </c>
      <c r="BZ52" s="3493">
        <v>0.48414318616912222</v>
      </c>
      <c r="CA52" s="3493">
        <v>0.78440486961254552</v>
      </c>
      <c r="CB52" s="3493">
        <v>0.66942585807520483</v>
      </c>
      <c r="CC52" s="3493">
        <v>0.59277318371697763</v>
      </c>
      <c r="CD52" s="3493">
        <v>0.60653971470823298</v>
      </c>
      <c r="CE52" s="3493">
        <v>0.50709942593624868</v>
      </c>
      <c r="CF52" s="3493">
        <v>0.44494924545375847</v>
      </c>
      <c r="CG52" s="3493">
        <v>0.44312252087115855</v>
      </c>
      <c r="CH52" s="3493">
        <v>0.42652256842376779</v>
      </c>
      <c r="CI52" s="3493">
        <v>0.40592649616811771</v>
      </c>
      <c r="CJ52" s="3493">
        <v>0.60653971470823298</v>
      </c>
      <c r="CK52" s="3493">
        <v>0.50709942593624868</v>
      </c>
      <c r="CL52" s="3493">
        <v>0.44494924545375847</v>
      </c>
      <c r="CM52" s="3493">
        <v>0.79283018841825925</v>
      </c>
      <c r="CN52" s="3493">
        <v>0.65545890593825229</v>
      </c>
      <c r="CO52" s="3493">
        <v>0.56960185438824795</v>
      </c>
    </row>
    <row r="53" spans="2:93" ht="16.5" x14ac:dyDescent="0.2">
      <c r="B53" s="3500" t="s">
        <v>1429</v>
      </c>
      <c r="C53" s="3501"/>
      <c r="D53" s="3502" t="s">
        <v>1430</v>
      </c>
      <c r="E53" s="3503">
        <v>8.8117249785997095E-2</v>
      </c>
      <c r="F53" s="3504">
        <v>0.12716292009748928</v>
      </c>
      <c r="G53" s="3505">
        <v>0.12789111131988326</v>
      </c>
      <c r="H53">
        <v>0.18923400723592496</v>
      </c>
      <c r="I53">
        <v>0.18970283131367829</v>
      </c>
      <c r="J53">
        <v>0.19201688239196776</v>
      </c>
      <c r="K53">
        <v>0.17786265205912666</v>
      </c>
      <c r="L53">
        <v>0.22300560001557757</v>
      </c>
      <c r="M53">
        <v>0.14683104130023875</v>
      </c>
      <c r="N53">
        <v>0.17677589311799891</v>
      </c>
      <c r="O53" s="3508">
        <v>0.30233226697775528</v>
      </c>
      <c r="P53" s="3671">
        <v>8.9572325365202946E-2</v>
      </c>
      <c r="Q53" s="3672">
        <v>0.10494172522514718</v>
      </c>
      <c r="R53" s="3673">
        <v>0.10464978481640438</v>
      </c>
      <c r="S53">
        <v>0.14038463171322973</v>
      </c>
      <c r="T53">
        <v>0.13425235374525682</v>
      </c>
      <c r="U53">
        <v>0.12853148866875938</v>
      </c>
      <c r="V53" s="3672">
        <v>0.14037980631214139</v>
      </c>
      <c r="W53" s="3671">
        <v>0.13210814668517024</v>
      </c>
      <c r="X53">
        <v>0.12471315098191071</v>
      </c>
      <c r="Y53" s="3506">
        <v>0.20238897157005756</v>
      </c>
      <c r="Z53" s="3504">
        <v>0.18539653387516364</v>
      </c>
      <c r="AA53" s="3505">
        <v>0.17175230916213982</v>
      </c>
      <c r="AB53">
        <v>0.19820143518484837</v>
      </c>
      <c r="AC53" s="3671">
        <v>0.17739025543445838</v>
      </c>
      <c r="AD53" s="3673">
        <v>0.16550106219754862</v>
      </c>
      <c r="AE53" s="3497"/>
      <c r="AF53" s="3506">
        <v>0.16310822056310628</v>
      </c>
      <c r="AG53" s="3504">
        <v>0.14547316699040355</v>
      </c>
      <c r="AH53" s="3505">
        <v>0.13065572703896294</v>
      </c>
      <c r="AI53" s="3672">
        <v>0.15281940832420846</v>
      </c>
      <c r="AJ53" s="3671">
        <v>0.1345549533492863</v>
      </c>
      <c r="AK53">
        <v>0.12327469965922586</v>
      </c>
      <c r="AL53" s="3509">
        <v>0.13753995255365078</v>
      </c>
      <c r="AM53" s="3504">
        <v>0.12098028208487888</v>
      </c>
      <c r="AN53" s="3510">
        <v>0.10864876571199666</v>
      </c>
      <c r="AO53" s="3672">
        <v>0.18405509061234829</v>
      </c>
      <c r="AP53" s="3671">
        <v>0.16864839875661883</v>
      </c>
      <c r="AQ53" s="3673">
        <v>0.15616671985104766</v>
      </c>
      <c r="AR53" s="3507">
        <v>0.14579135875137819</v>
      </c>
      <c r="AS53" s="3504">
        <v>0.13329760342307739</v>
      </c>
      <c r="AT53" s="3505">
        <v>0.12368702240130754</v>
      </c>
      <c r="AU53" s="3672">
        <v>0.15245639457858676</v>
      </c>
      <c r="AV53" s="3671">
        <v>0.13809398370795462</v>
      </c>
      <c r="AW53" s="3673">
        <v>0.12732217555498049</v>
      </c>
      <c r="AX53" s="3506">
        <v>9.0125590046777972</v>
      </c>
      <c r="AY53" s="3504">
        <v>7.4910535074790099</v>
      </c>
      <c r="AZ53" s="3505">
        <v>6.4767165093464856</v>
      </c>
      <c r="BA53" s="3507">
        <v>12.518961293891179</v>
      </c>
      <c r="BB53" s="3504">
        <v>10.712445062304369</v>
      </c>
      <c r="BC53" s="3505">
        <v>9.5046243465941398</v>
      </c>
      <c r="BD53" s="3507">
        <v>9.5905473849982723</v>
      </c>
      <c r="BE53" s="3504">
        <v>8.6022276662788428</v>
      </c>
      <c r="BF53" s="3505">
        <v>7.6426924058550068</v>
      </c>
      <c r="BG53" s="3507">
        <v>13.474917527511334</v>
      </c>
      <c r="BH53" s="3504">
        <v>12.06201814424252</v>
      </c>
      <c r="BI53" s="3505">
        <v>11.016576784165423</v>
      </c>
      <c r="BJ53" s="3510">
        <v>11.25144612122352</v>
      </c>
      <c r="BK53" s="3505">
        <v>9.7722924664283752</v>
      </c>
      <c r="BL53" s="3505">
        <v>8.6398471210735419</v>
      </c>
      <c r="BM53" s="3505">
        <v>18.222847756730054</v>
      </c>
      <c r="BN53" s="3505">
        <v>16.203952822572624</v>
      </c>
      <c r="BO53" s="3505">
        <v>14.634668467147494</v>
      </c>
      <c r="BP53" s="3508">
        <v>5.0455130097066547</v>
      </c>
      <c r="BQ53" s="3508">
        <v>13.642234522004907</v>
      </c>
      <c r="BR53" s="3505">
        <v>15.950060770250733</v>
      </c>
      <c r="BS53" s="3505">
        <v>14.272937067932173</v>
      </c>
      <c r="BT53" s="3505">
        <v>13.074991566276063</v>
      </c>
      <c r="BU53" s="3505">
        <v>13.10024075224473</v>
      </c>
      <c r="BV53" s="3505">
        <v>12.169272650405839</v>
      </c>
      <c r="BW53" s="3505">
        <v>11.068029130394406</v>
      </c>
      <c r="BX53" s="3505">
        <v>18.256371976407866</v>
      </c>
      <c r="BY53" s="3505">
        <v>15.297633429714516</v>
      </c>
      <c r="BZ53" s="3505">
        <v>13.448421838031175</v>
      </c>
      <c r="CA53" s="3505">
        <v>21.789024155904041</v>
      </c>
      <c r="CB53" s="3505">
        <v>18.595162724311244</v>
      </c>
      <c r="CC53" s="3505">
        <v>16.465921769916044</v>
      </c>
      <c r="CD53" s="3505">
        <v>16.848325408562026</v>
      </c>
      <c r="CE53" s="3505">
        <v>14.086095164895795</v>
      </c>
      <c r="CF53" s="3505">
        <v>12.359701262604403</v>
      </c>
      <c r="CG53" s="3505">
        <v>12.308958913087739</v>
      </c>
      <c r="CH53" s="3505">
        <v>11.847849122882439</v>
      </c>
      <c r="CI53" s="3505">
        <v>11.275736004669939</v>
      </c>
      <c r="CJ53" s="3505">
        <v>16.848325408562026</v>
      </c>
      <c r="CK53" s="3505">
        <v>14.086095164895795</v>
      </c>
      <c r="CL53" s="3505">
        <v>12.359701262604403</v>
      </c>
      <c r="CM53" s="3505">
        <v>22.023060789396091</v>
      </c>
      <c r="CN53" s="3505">
        <v>18.207191831618118</v>
      </c>
      <c r="CO53" s="3505">
        <v>15.822273733006886</v>
      </c>
    </row>
    <row r="54" spans="2:93" ht="18" x14ac:dyDescent="0.2">
      <c r="B54" s="3440" t="s">
        <v>1431</v>
      </c>
      <c r="C54" s="3441"/>
      <c r="D54" s="3456" t="s">
        <v>1058</v>
      </c>
      <c r="E54" s="3319">
        <v>588.90960963226507</v>
      </c>
      <c r="F54" s="3320">
        <v>925.66658148466104</v>
      </c>
      <c r="G54" s="3321">
        <v>1378.7834135470514</v>
      </c>
      <c r="H54" s="3743">
        <v>1187.778767548461</v>
      </c>
      <c r="I54" s="3744">
        <v>1313.2559900558135</v>
      </c>
      <c r="J54" s="3744">
        <v>1328.1550223861996</v>
      </c>
      <c r="K54" s="3745">
        <v>1869.0379613167447</v>
      </c>
      <c r="L54" s="3746">
        <v>1440.7485856756402</v>
      </c>
      <c r="M54">
        <v>735.84049225619515</v>
      </c>
      <c r="N54">
        <v>1179.0062660005769</v>
      </c>
      <c r="O54" s="3324">
        <v>3493.0590760066921</v>
      </c>
      <c r="P54" s="3625">
        <v>388.38560278351997</v>
      </c>
      <c r="Q54" s="3626">
        <v>779.50713497239326</v>
      </c>
      <c r="R54" s="3627">
        <v>871.80683445156001</v>
      </c>
      <c r="S54" s="3743">
        <v>1220.2934111672494</v>
      </c>
      <c r="T54" s="3745">
        <v>1361.4866824190854</v>
      </c>
      <c r="U54">
        <v>1489.6799536709213</v>
      </c>
      <c r="V54" s="3626">
        <v>1260.2597111672494</v>
      </c>
      <c r="W54" s="3625">
        <v>1449.5566395030305</v>
      </c>
      <c r="X54">
        <v>1651.2644755759889</v>
      </c>
      <c r="Y54" s="3322">
        <v>1636.1175058966344</v>
      </c>
      <c r="Z54" s="3320">
        <v>1831.8058180402074</v>
      </c>
      <c r="AA54" s="3321">
        <v>2005.5388326631194</v>
      </c>
      <c r="AB54">
        <v>1523.4654214765776</v>
      </c>
      <c r="AC54" s="3625">
        <v>1666.5016241917908</v>
      </c>
      <c r="AD54" s="3627">
        <v>1837.5003682076128</v>
      </c>
      <c r="AE54" s="3325"/>
      <c r="AF54" s="3322">
        <v>1818.1129652100915</v>
      </c>
      <c r="AG54" s="3320">
        <v>1946.309746692441</v>
      </c>
      <c r="AH54" s="3321">
        <v>2016.9977861639904</v>
      </c>
      <c r="AI54" s="3626">
        <v>1849.573298947895</v>
      </c>
      <c r="AJ54" s="3625">
        <v>1998.0670520125595</v>
      </c>
      <c r="AK54">
        <v>2146.1755386572245</v>
      </c>
      <c r="AL54" s="3326">
        <v>342.99025668066668</v>
      </c>
      <c r="AM54" s="3320">
        <v>386.16906041493337</v>
      </c>
      <c r="AN54" s="3327">
        <v>433.50857519086668</v>
      </c>
      <c r="AO54" s="3626">
        <v>1490.7910174328376</v>
      </c>
      <c r="AP54" s="3625">
        <v>1621.1453816779053</v>
      </c>
      <c r="AQ54" s="3627">
        <v>1715.6163509396397</v>
      </c>
      <c r="AR54" s="3323">
        <v>1674.0249783029083</v>
      </c>
      <c r="AS54" s="3320">
        <v>1760.1526422939864</v>
      </c>
      <c r="AT54" s="3321">
        <v>1846.2803062850642</v>
      </c>
      <c r="AU54" s="3626">
        <v>1724.533375734871</v>
      </c>
      <c r="AV54" s="3625">
        <v>1822.4159459450989</v>
      </c>
      <c r="AW54" s="3627">
        <v>1920.298516155327</v>
      </c>
      <c r="AX54" s="3322">
        <v>1159.9293219869992</v>
      </c>
      <c r="AY54" s="3320">
        <v>1205.1367169119992</v>
      </c>
      <c r="AZ54" s="3321">
        <v>1250.3441118369992</v>
      </c>
      <c r="BA54" s="3323">
        <v>1611.2083458280579</v>
      </c>
      <c r="BB54" s="3320">
        <v>1723.3838817993276</v>
      </c>
      <c r="BC54" s="3321">
        <v>1834.8882600985874</v>
      </c>
      <c r="BD54" s="3323">
        <v>964.31035846680606</v>
      </c>
      <c r="BE54" s="3320">
        <v>1037.924144866806</v>
      </c>
      <c r="BF54" s="3321">
        <v>1075.8404104334727</v>
      </c>
      <c r="BG54" s="3323">
        <v>1354.8760075562093</v>
      </c>
      <c r="BH54" s="3320">
        <v>1455.3741604407562</v>
      </c>
      <c r="BI54" s="3321">
        <v>1550.7726674919707</v>
      </c>
      <c r="BJ54" s="3327">
        <v>934.02372281556791</v>
      </c>
      <c r="BK54" s="3321">
        <v>991.50793405723448</v>
      </c>
      <c r="BL54" s="3321">
        <v>1035.9921452989013</v>
      </c>
      <c r="BM54" s="3321">
        <v>1680.8280976766123</v>
      </c>
      <c r="BN54" s="3321">
        <v>1793.5325736921118</v>
      </c>
      <c r="BO54" s="3321">
        <v>1889.8092769803379</v>
      </c>
      <c r="BP54" s="3324">
        <v>11.693884592336918</v>
      </c>
      <c r="BQ54" s="3324">
        <v>34.695699698358183</v>
      </c>
      <c r="BR54" s="3321">
        <v>735.59606764496232</v>
      </c>
      <c r="BS54" s="3321">
        <v>789.89916330581207</v>
      </c>
      <c r="BT54" s="3321">
        <v>844.20225896666204</v>
      </c>
      <c r="BU54" s="3321">
        <v>2105.2610898487369</v>
      </c>
      <c r="BV54" s="3321">
        <v>2206.2185497372061</v>
      </c>
      <c r="BW54" s="3321">
        <v>2323.3962478407411</v>
      </c>
      <c r="BX54" s="3321">
        <v>1625.8540678285599</v>
      </c>
      <c r="BY54" s="3321">
        <v>1625.8540678285599</v>
      </c>
      <c r="BZ54" s="3321">
        <v>1625.8540678285599</v>
      </c>
      <c r="CA54" s="3321">
        <v>1496.9268769737976</v>
      </c>
      <c r="CB54" s="3321">
        <v>1496.9268769737976</v>
      </c>
      <c r="CC54" s="3321">
        <v>1496.9268769737976</v>
      </c>
      <c r="CD54" s="3321">
        <v>1500.4579462452266</v>
      </c>
      <c r="CE54" s="3321">
        <v>1500.4579462452266</v>
      </c>
      <c r="CF54" s="3321">
        <v>1500.4579462452266</v>
      </c>
      <c r="CG54" s="3321">
        <v>2043.62346033007</v>
      </c>
      <c r="CH54" s="3321">
        <v>2185.6295973739129</v>
      </c>
      <c r="CI54" s="3321">
        <v>2288.0980587457143</v>
      </c>
      <c r="CJ54" s="3321">
        <v>1500.4579462452266</v>
      </c>
      <c r="CK54" s="3321">
        <v>1630.8013278454196</v>
      </c>
      <c r="CL54" s="3321">
        <v>1761.1447094456125</v>
      </c>
      <c r="CM54" s="3321">
        <v>1564.3728862774883</v>
      </c>
      <c r="CN54" s="3321">
        <v>1681.3143623276815</v>
      </c>
      <c r="CO54" s="3321">
        <v>1798.2558383778744</v>
      </c>
    </row>
    <row r="55" spans="2:93" ht="19.5" x14ac:dyDescent="0.2">
      <c r="B55" s="3460" t="s">
        <v>1432</v>
      </c>
      <c r="C55" s="3511"/>
      <c r="D55" s="3512" t="s">
        <v>1433</v>
      </c>
      <c r="E55" s="3513">
        <v>0.14686208297666184</v>
      </c>
      <c r="F55" s="3514">
        <v>0.21193820016248213</v>
      </c>
      <c r="G55" s="3515">
        <v>0.21315185219980545</v>
      </c>
      <c r="H55">
        <v>0.31539001205987499</v>
      </c>
      <c r="I55">
        <v>0.31617138552279717</v>
      </c>
      <c r="J55">
        <v>0.32002813731994628</v>
      </c>
      <c r="K55">
        <v>0.29643775343187778</v>
      </c>
      <c r="L55">
        <v>0.37167600002596263</v>
      </c>
      <c r="M55">
        <v>0.24471840216706461</v>
      </c>
      <c r="N55">
        <v>0.29462648852999818</v>
      </c>
      <c r="O55" s="3518">
        <v>0.5038871116295921</v>
      </c>
      <c r="P55" s="3674">
        <v>0.14928720894200492</v>
      </c>
      <c r="Q55" s="3675">
        <v>0.17490287537524529</v>
      </c>
      <c r="R55" s="3676">
        <v>0.17441630802734059</v>
      </c>
      <c r="S55">
        <v>0.23397438618871622</v>
      </c>
      <c r="T55">
        <v>0.22375392290876134</v>
      </c>
      <c r="U55">
        <v>0.21421914778126566</v>
      </c>
      <c r="V55" s="3675">
        <v>0.23396634385356899</v>
      </c>
      <c r="W55" s="3674">
        <v>0.22018024447528375</v>
      </c>
      <c r="X55">
        <v>0.20785525163651788</v>
      </c>
      <c r="Y55" s="3516">
        <v>0.33731495261676259</v>
      </c>
      <c r="Z55" s="3514">
        <v>0.30899422312527275</v>
      </c>
      <c r="AA55" s="3515">
        <v>0.28625384860356634</v>
      </c>
      <c r="AB55">
        <v>0.33033572530808059</v>
      </c>
      <c r="AC55" s="3674">
        <v>0.29565042572409728</v>
      </c>
      <c r="AD55" s="3676">
        <v>0.27583510366258096</v>
      </c>
      <c r="AE55" s="3519"/>
      <c r="AF55" s="3516">
        <v>0.27184703427184381</v>
      </c>
      <c r="AG55" s="3514">
        <v>0.24245527831733926</v>
      </c>
      <c r="AH55" s="3515">
        <v>0.21775954506493825</v>
      </c>
      <c r="AI55" s="3675">
        <v>0.25469901387368077</v>
      </c>
      <c r="AJ55" s="3674">
        <v>0.22425825558214385</v>
      </c>
      <c r="AK55">
        <v>0.20545783276537641</v>
      </c>
      <c r="AL55" s="3520">
        <v>0.22923325425608465</v>
      </c>
      <c r="AM55" s="3514">
        <v>0.20163380347479815</v>
      </c>
      <c r="AN55" s="3521">
        <v>0.18108127618666109</v>
      </c>
      <c r="AO55" s="3675">
        <v>0.30675848435391384</v>
      </c>
      <c r="AP55" s="3674">
        <v>0.2810806645943647</v>
      </c>
      <c r="AQ55" s="3676">
        <v>0.26027786641841277</v>
      </c>
      <c r="AR55" s="3517">
        <v>0.24298559791896368</v>
      </c>
      <c r="AS55" s="3514">
        <v>0.22216267237179566</v>
      </c>
      <c r="AT55" s="3515">
        <v>0.20614503733551251</v>
      </c>
      <c r="AU55" s="3675">
        <v>0.25409399096431123</v>
      </c>
      <c r="AV55" s="3674">
        <v>0.23015663951325771</v>
      </c>
      <c r="AW55" s="3676">
        <v>0.21220362592496753</v>
      </c>
      <c r="AX55" s="3516">
        <v>0.32445212416840069</v>
      </c>
      <c r="AY55" s="3514">
        <v>0.26967792626924436</v>
      </c>
      <c r="AZ55" s="3515">
        <v>0.23316179433647347</v>
      </c>
      <c r="BA55" s="3517">
        <v>0.45068260658008241</v>
      </c>
      <c r="BB55" s="3514">
        <v>0.3856480222429573</v>
      </c>
      <c r="BC55" s="3515">
        <v>0.34216647647738901</v>
      </c>
      <c r="BD55" s="3517">
        <v>0.3452597058599377</v>
      </c>
      <c r="BE55" s="3514">
        <v>0.30968019598603835</v>
      </c>
      <c r="BF55" s="3515">
        <v>0.27513692661078015</v>
      </c>
      <c r="BG55" s="3517">
        <v>0.48509703099040791</v>
      </c>
      <c r="BH55" s="3514">
        <v>0.43423265319273069</v>
      </c>
      <c r="BI55" s="3515">
        <v>0.3965967642299551</v>
      </c>
      <c r="BJ55" s="3521">
        <v>0.40505206036404667</v>
      </c>
      <c r="BK55" s="3515">
        <v>0.35180252879142143</v>
      </c>
      <c r="BL55" s="3515">
        <v>0.31103449635864749</v>
      </c>
      <c r="BM55" s="3515">
        <v>0.65602251924228183</v>
      </c>
      <c r="BN55" s="3515">
        <v>0.58334230161261436</v>
      </c>
      <c r="BO55" s="3515">
        <v>0.52684806481730972</v>
      </c>
      <c r="BP55" s="3518">
        <v>0.18163846834943953</v>
      </c>
      <c r="BQ55" s="3518">
        <v>0.49112044279217654</v>
      </c>
      <c r="BR55" s="3515">
        <v>0.57420218772902631</v>
      </c>
      <c r="BS55" s="3515">
        <v>0.51382573444555812</v>
      </c>
      <c r="BT55" s="3515">
        <v>0.47069969638593823</v>
      </c>
      <c r="BU55" s="3515">
        <v>0.47160866708081023</v>
      </c>
      <c r="BV55" s="3515">
        <v>0.43809381541461012</v>
      </c>
      <c r="BW55" s="3515">
        <v>0.3984490486941985</v>
      </c>
      <c r="BX55" s="3515">
        <v>0.65722939115068324</v>
      </c>
      <c r="BY55" s="3515">
        <v>0.65722939115068324</v>
      </c>
      <c r="BZ55" s="3515">
        <v>0.65722939115068324</v>
      </c>
      <c r="CA55" s="3515">
        <v>0.78440486961254552</v>
      </c>
      <c r="CB55" s="3515">
        <v>0.78440486961254552</v>
      </c>
      <c r="CC55" s="3515">
        <v>0.78440486961254552</v>
      </c>
      <c r="CD55" s="3515">
        <v>0.60653971470823298</v>
      </c>
      <c r="CE55" s="3515">
        <v>0.60653971470823298</v>
      </c>
      <c r="CF55" s="3515">
        <v>0.60653971470823298</v>
      </c>
      <c r="CG55" s="3515">
        <v>0.44312252087115855</v>
      </c>
      <c r="CH55" s="3515">
        <v>0.42652256842376779</v>
      </c>
      <c r="CI55" s="3515">
        <v>0.40592649616811771</v>
      </c>
      <c r="CJ55" s="3515">
        <v>0.60653971470823298</v>
      </c>
      <c r="CK55" s="3515">
        <v>0.50709942593624868</v>
      </c>
      <c r="CL55" s="3515">
        <v>0.44494924545375847</v>
      </c>
      <c r="CM55" s="3515">
        <v>0.79283018841825925</v>
      </c>
      <c r="CN55" s="3515">
        <v>0.65545890593825229</v>
      </c>
      <c r="CO55" s="3515">
        <v>0.56960185438824795</v>
      </c>
    </row>
    <row r="56" spans="2:93" ht="18.75" thickBot="1" x14ac:dyDescent="0.25">
      <c r="B56" s="3339"/>
      <c r="C56" s="3522"/>
      <c r="D56" s="3474" t="s">
        <v>1406</v>
      </c>
      <c r="E56" s="3523">
        <v>8.8117249785997095E-2</v>
      </c>
      <c r="F56" s="3524">
        <v>0.12716292009748928</v>
      </c>
      <c r="G56" s="3525">
        <v>0.12789111131988326</v>
      </c>
      <c r="H56">
        <v>0.18923400723592496</v>
      </c>
      <c r="I56">
        <v>0.18970283131367829</v>
      </c>
      <c r="J56">
        <v>0.19201688239196776</v>
      </c>
      <c r="K56">
        <v>0.17786265205912666</v>
      </c>
      <c r="L56">
        <v>0.22300560001557757</v>
      </c>
      <c r="M56">
        <v>0.14683104130023875</v>
      </c>
      <c r="N56">
        <v>0.17677589311799891</v>
      </c>
      <c r="O56" s="3528">
        <v>0.30233226697775528</v>
      </c>
      <c r="P56" s="3677">
        <v>8.9572325365202946E-2</v>
      </c>
      <c r="Q56" s="3678">
        <v>0.10494172522514718</v>
      </c>
      <c r="R56" s="3679">
        <v>0.10464978481640438</v>
      </c>
      <c r="S56">
        <v>0.14038463171322973</v>
      </c>
      <c r="T56">
        <v>0.13425235374525682</v>
      </c>
      <c r="U56">
        <v>0.12853148866875938</v>
      </c>
      <c r="V56" s="3678">
        <v>0.14037980631214139</v>
      </c>
      <c r="W56" s="3677">
        <v>0.13210814668517024</v>
      </c>
      <c r="X56">
        <v>0.12471315098191071</v>
      </c>
      <c r="Y56" s="3526">
        <v>0.20238897157005756</v>
      </c>
      <c r="Z56" s="3524">
        <v>0.18539653387516364</v>
      </c>
      <c r="AA56" s="3525">
        <v>0.17175230916213982</v>
      </c>
      <c r="AB56">
        <v>0.19820143518484837</v>
      </c>
      <c r="AC56" s="3677">
        <v>0.17739025543445838</v>
      </c>
      <c r="AD56" s="3679">
        <v>0.16550106219754862</v>
      </c>
      <c r="AE56" s="3529"/>
      <c r="AF56" s="3526">
        <v>0.16310822056310628</v>
      </c>
      <c r="AG56" s="3524">
        <v>0.14547316699040355</v>
      </c>
      <c r="AH56" s="3525">
        <v>0.13065572703896294</v>
      </c>
      <c r="AI56" s="3678">
        <v>0.15281940832420846</v>
      </c>
      <c r="AJ56" s="3677">
        <v>0.1345549533492863</v>
      </c>
      <c r="AK56">
        <v>0.12327469965922586</v>
      </c>
      <c r="AL56" s="3530">
        <v>0.13753995255365078</v>
      </c>
      <c r="AM56" s="3524">
        <v>0.12098028208487888</v>
      </c>
      <c r="AN56" s="3531">
        <v>0.10864876571199666</v>
      </c>
      <c r="AO56" s="3678">
        <v>0.18405509061234829</v>
      </c>
      <c r="AP56" s="3677">
        <v>0.16864839875661883</v>
      </c>
      <c r="AQ56" s="3679">
        <v>0.15616671985104766</v>
      </c>
      <c r="AR56" s="3527">
        <v>0.14579135875137819</v>
      </c>
      <c r="AS56" s="3524">
        <v>0.13329760342307739</v>
      </c>
      <c r="AT56" s="3525">
        <v>0.12368702240130754</v>
      </c>
      <c r="AU56" s="3678">
        <v>0.15245639457858676</v>
      </c>
      <c r="AV56" s="3677">
        <v>0.13809398370795462</v>
      </c>
      <c r="AW56" s="3679">
        <v>0.12732217555498049</v>
      </c>
      <c r="AX56" s="3526">
        <v>9.0125590046777972</v>
      </c>
      <c r="AY56" s="3524">
        <v>7.4910535074790099</v>
      </c>
      <c r="AZ56" s="3525">
        <v>6.4767165093464856</v>
      </c>
      <c r="BA56" s="3527">
        <v>12.518961293891179</v>
      </c>
      <c r="BB56" s="3524">
        <v>10.712445062304369</v>
      </c>
      <c r="BC56" s="3525">
        <v>9.5046243465941398</v>
      </c>
      <c r="BD56" s="3527">
        <v>9.5905473849982723</v>
      </c>
      <c r="BE56" s="3524">
        <v>8.6022276662788428</v>
      </c>
      <c r="BF56" s="3525">
        <v>7.6426924058550068</v>
      </c>
      <c r="BG56" s="3527">
        <v>13.474917527511334</v>
      </c>
      <c r="BH56" s="3524">
        <v>12.06201814424252</v>
      </c>
      <c r="BI56" s="3525">
        <v>11.016576784165423</v>
      </c>
      <c r="BJ56" s="3531">
        <v>11.25144612122352</v>
      </c>
      <c r="BK56" s="3525">
        <v>9.7722924664283752</v>
      </c>
      <c r="BL56" s="3525">
        <v>8.6398471210735419</v>
      </c>
      <c r="BM56" s="3525">
        <v>18.222847756730054</v>
      </c>
      <c r="BN56" s="3525">
        <v>16.203952822572624</v>
      </c>
      <c r="BO56" s="3525">
        <v>14.634668467147494</v>
      </c>
      <c r="BP56" s="3528">
        <v>349.03875126113735</v>
      </c>
      <c r="BQ56" s="3528">
        <v>943.74318187498136</v>
      </c>
      <c r="BR56" s="3525">
        <v>15.950060770250733</v>
      </c>
      <c r="BS56" s="3525">
        <v>14.272937067932173</v>
      </c>
      <c r="BT56" s="3525">
        <v>13.074991566276063</v>
      </c>
      <c r="BU56" s="3525">
        <v>13.10024075224473</v>
      </c>
      <c r="BV56" s="3525">
        <v>12.169272650405839</v>
      </c>
      <c r="BW56" s="3525">
        <v>11.068029130394406</v>
      </c>
      <c r="BX56" s="3525">
        <v>18.256371976407866</v>
      </c>
      <c r="BY56" s="3525">
        <v>18.256371976407866</v>
      </c>
      <c r="BZ56" s="3525">
        <v>18.256371976407866</v>
      </c>
      <c r="CA56" s="3525">
        <v>21.789024155904041</v>
      </c>
      <c r="CB56" s="3525">
        <v>21.789024155904041</v>
      </c>
      <c r="CC56" s="3525">
        <v>21.789024155904041</v>
      </c>
      <c r="CD56" s="3525">
        <v>16.848325408562026</v>
      </c>
      <c r="CE56" s="3525">
        <v>16.848325408562026</v>
      </c>
      <c r="CF56" s="3525">
        <v>16.848325408562026</v>
      </c>
      <c r="CG56" s="3525">
        <v>12.308958913087739</v>
      </c>
      <c r="CH56" s="3525">
        <v>11.847849122882439</v>
      </c>
      <c r="CI56" s="3525">
        <v>11.275736004669939</v>
      </c>
      <c r="CJ56" s="3525">
        <v>16.848325408562026</v>
      </c>
      <c r="CK56" s="3525">
        <v>14.086095164895795</v>
      </c>
      <c r="CL56" s="3525">
        <v>12.359701262604403</v>
      </c>
      <c r="CM56" s="3525">
        <v>22.023060789396091</v>
      </c>
      <c r="CN56" s="3525">
        <v>18.207191831618118</v>
      </c>
      <c r="CO56" s="3525">
        <v>15.822273733006886</v>
      </c>
    </row>
    <row r="57" spans="2:93" ht="16.5" x14ac:dyDescent="0.2">
      <c r="B57" s="3532" t="s">
        <v>591</v>
      </c>
      <c r="C57" s="3533"/>
      <c r="D57" s="3534" t="s">
        <v>1058</v>
      </c>
      <c r="E57" s="3535">
        <v>341.69308464078205</v>
      </c>
      <c r="F57" s="3536">
        <v>391.81458120567777</v>
      </c>
      <c r="G57" s="3537">
        <v>700.98313240040829</v>
      </c>
      <c r="H57">
        <v>394.33995425917283</v>
      </c>
      <c r="I57">
        <v>418.24987057897368</v>
      </c>
      <c r="J57">
        <v>416.09082809347274</v>
      </c>
      <c r="K57">
        <v>725.48221542998863</v>
      </c>
      <c r="L57">
        <v>383.95496744360037</v>
      </c>
      <c r="M57">
        <v>244.74206531797131</v>
      </c>
      <c r="N57">
        <v>349.41825988147951</v>
      </c>
      <c r="O57" s="3540">
        <v>699.8436040528976</v>
      </c>
      <c r="P57" s="3680">
        <v>278.63972792245329</v>
      </c>
      <c r="Q57" s="3681">
        <v>511.84920050252668</v>
      </c>
      <c r="R57" s="3682">
        <v>552.17389998169324</v>
      </c>
      <c r="S57">
        <v>419.14508573530907</v>
      </c>
      <c r="T57">
        <v>478.3904403918325</v>
      </c>
      <c r="U57">
        <v>537.63579504835593</v>
      </c>
      <c r="V57" s="3681">
        <v>459.11138573530894</v>
      </c>
      <c r="W57" s="3680">
        <v>549.14442527734013</v>
      </c>
      <c r="X57">
        <v>655.11015619529849</v>
      </c>
      <c r="Y57" s="3538">
        <v>495.58374800399258</v>
      </c>
      <c r="Z57" s="3536">
        <v>585.66635170041855</v>
      </c>
      <c r="AA57" s="3537">
        <v>675.74895539684462</v>
      </c>
      <c r="AB57">
        <v>353.39726592183791</v>
      </c>
      <c r="AC57" s="3680">
        <v>408.86855629671265</v>
      </c>
      <c r="AD57" s="3682">
        <v>465.82507828127063</v>
      </c>
      <c r="AE57" s="3207"/>
      <c r="AF57" s="3538">
        <v>719.21243918829896</v>
      </c>
      <c r="AG57" s="3536">
        <v>794.65574451234545</v>
      </c>
      <c r="AH57" s="3537">
        <v>869.54753800159187</v>
      </c>
      <c r="AI57" s="3681">
        <v>739.20677393444146</v>
      </c>
      <c r="AJ57" s="3680">
        <v>828.96046156112163</v>
      </c>
      <c r="AK57">
        <v>918.32888276780193</v>
      </c>
      <c r="AL57" s="3541">
        <v>148.00082960066666</v>
      </c>
      <c r="AM57" s="3536">
        <v>177.18103686293333</v>
      </c>
      <c r="AN57" s="3542">
        <v>210.52195516686669</v>
      </c>
      <c r="AO57" s="3681">
        <v>478.45600168463005</v>
      </c>
      <c r="AP57" s="3680">
        <v>571.59740853789515</v>
      </c>
      <c r="AQ57" s="3682">
        <v>628.85542040782684</v>
      </c>
      <c r="AR57" s="3539">
        <v>649.40483204920577</v>
      </c>
      <c r="AS57" s="3536">
        <v>700.27060573889685</v>
      </c>
      <c r="AT57" s="3537">
        <v>751.13637942858793</v>
      </c>
      <c r="AU57" s="3681">
        <v>655.04718428354499</v>
      </c>
      <c r="AV57" s="3680">
        <v>712.45359107040645</v>
      </c>
      <c r="AW57" s="3682">
        <v>769.85999785726779</v>
      </c>
      <c r="AX57" s="3538">
        <v>333.14811200463697</v>
      </c>
      <c r="AY57" s="3536">
        <v>351.91722283872787</v>
      </c>
      <c r="AZ57" s="3537">
        <v>370.68633367281888</v>
      </c>
      <c r="BA57" s="3539">
        <v>386.85017174336849</v>
      </c>
      <c r="BB57" s="3536">
        <v>405.92978240954727</v>
      </c>
      <c r="BC57" s="3537">
        <v>425.00736078091614</v>
      </c>
      <c r="BD57" s="3539">
        <v>187.63196480061339</v>
      </c>
      <c r="BE57" s="3536">
        <v>243.29793320061336</v>
      </c>
      <c r="BF57" s="3537">
        <v>263.26638076728005</v>
      </c>
      <c r="BG57" s="3539">
        <v>241.0390028096167</v>
      </c>
      <c r="BH57" s="3536">
        <v>276.54554547808402</v>
      </c>
      <c r="BI57" s="3537">
        <v>306.95244231321806</v>
      </c>
      <c r="BJ57" s="3542">
        <v>105.27060790692674</v>
      </c>
      <c r="BK57" s="3537">
        <v>114.60125014859335</v>
      </c>
      <c r="BL57" s="3537">
        <v>123.93189239026007</v>
      </c>
      <c r="BM57" s="3537">
        <v>148.73033461501939</v>
      </c>
      <c r="BN57" s="3537">
        <v>158.3625465693174</v>
      </c>
      <c r="BO57" s="3537">
        <v>167.99475852361527</v>
      </c>
      <c r="BP57" s="3540">
        <v>55.441187720860405</v>
      </c>
      <c r="BQ57" s="3540">
        <v>93.787425122210323</v>
      </c>
      <c r="BR57" s="3537">
        <v>167.21475293508237</v>
      </c>
      <c r="BS57" s="3537">
        <v>172.32121494467611</v>
      </c>
      <c r="BT57" s="3537">
        <v>177.42767695426994</v>
      </c>
      <c r="BU57" s="3537">
        <v>518.50588463052713</v>
      </c>
      <c r="BV57" s="3537">
        <v>530.86040295271914</v>
      </c>
      <c r="BW57" s="3537">
        <v>547.91235931934398</v>
      </c>
      <c r="BX57" s="3537">
        <v>228.16854697853424</v>
      </c>
      <c r="BY57" s="3537">
        <v>243.4124638152438</v>
      </c>
      <c r="BZ57" s="3537">
        <v>258.65638065195333</v>
      </c>
      <c r="CA57" s="3537">
        <v>316.02372814502371</v>
      </c>
      <c r="CB57" s="3537">
        <v>333.33740801421135</v>
      </c>
      <c r="CC57" s="3537">
        <v>350.65108788339899</v>
      </c>
      <c r="CD57" s="3537">
        <v>290.19742539520081</v>
      </c>
      <c r="CE57" s="3537">
        <v>311.39802659024377</v>
      </c>
      <c r="CF57" s="3537">
        <v>332.59862778528668</v>
      </c>
      <c r="CG57" s="3537">
        <v>411.51758179579542</v>
      </c>
      <c r="CH57" s="3537">
        <v>467.38790117632306</v>
      </c>
      <c r="CI57" s="3537">
        <v>487.5606997235173</v>
      </c>
      <c r="CJ57" s="3537">
        <v>290.19742539520081</v>
      </c>
      <c r="CK57" s="3537">
        <v>311.39802659024377</v>
      </c>
      <c r="CL57" s="3537">
        <v>332.59862778528668</v>
      </c>
      <c r="CM57" s="3537">
        <v>583.44703388031587</v>
      </c>
      <c r="CN57" s="3537">
        <v>594.39982452535878</v>
      </c>
      <c r="CO57" s="3537">
        <v>605.35261517040169</v>
      </c>
    </row>
    <row r="58" spans="2:93" ht="16.5" x14ac:dyDescent="0.2">
      <c r="B58" s="3543"/>
      <c r="C58" s="3544"/>
      <c r="D58" s="3545" t="s">
        <v>1058</v>
      </c>
      <c r="E58" s="3546"/>
      <c r="F58" s="3547"/>
      <c r="G58" s="3548"/>
      <c r="H58" s="3739"/>
      <c r="I58" s="3740"/>
      <c r="J58" s="3740"/>
      <c r="K58" s="3741"/>
      <c r="L58" s="3742"/>
      <c r="O58" s="3551"/>
      <c r="P58" s="3622"/>
      <c r="Q58" s="3623"/>
      <c r="R58" s="3624"/>
      <c r="S58" s="3739"/>
      <c r="T58" s="3741"/>
      <c r="U58"/>
      <c r="V58" s="3623"/>
      <c r="W58" s="3622"/>
      <c r="X58"/>
      <c r="Y58" s="3549"/>
      <c r="Z58" s="3547"/>
      <c r="AA58" s="3548"/>
      <c r="AB58"/>
      <c r="AC58" s="3622"/>
      <c r="AD58" s="3624"/>
      <c r="AE58" s="3207"/>
      <c r="AF58" s="3549"/>
      <c r="AG58" s="3547"/>
      <c r="AH58" s="3548"/>
      <c r="AI58" s="3623"/>
      <c r="AJ58" s="3622"/>
      <c r="AK58"/>
      <c r="AL58" s="3552"/>
      <c r="AM58" s="3547"/>
      <c r="AN58" s="3553"/>
      <c r="AO58" s="3623"/>
      <c r="AP58" s="3622"/>
      <c r="AQ58" s="3624"/>
      <c r="AR58" s="3550"/>
      <c r="AS58" s="3547"/>
      <c r="AT58" s="3548"/>
      <c r="AU58" s="3623"/>
      <c r="AV58" s="3622"/>
      <c r="AW58" s="3624"/>
      <c r="AX58" s="3549"/>
      <c r="AY58" s="3547"/>
      <c r="AZ58" s="3548"/>
      <c r="BA58" s="3550"/>
      <c r="BB58" s="3547"/>
      <c r="BC58" s="3548"/>
      <c r="BD58" s="3550"/>
      <c r="BE58" s="3547"/>
      <c r="BF58" s="3548"/>
      <c r="BG58" s="3550"/>
      <c r="BH58" s="3547"/>
      <c r="BI58" s="3548"/>
      <c r="BJ58" s="3553"/>
      <c r="BK58" s="3548"/>
      <c r="BL58" s="3548"/>
      <c r="BM58" s="3548"/>
      <c r="BN58" s="3548"/>
      <c r="BO58" s="3548"/>
      <c r="BP58" s="3551"/>
      <c r="BQ58" s="3551"/>
      <c r="BR58" s="3548"/>
      <c r="BS58" s="3548"/>
      <c r="BT58" s="3548"/>
      <c r="BU58" s="3548"/>
      <c r="BV58" s="3548"/>
      <c r="BW58" s="3548"/>
      <c r="BX58" s="3548"/>
      <c r="BY58" s="3548"/>
      <c r="BZ58" s="3548"/>
      <c r="CA58" s="3548"/>
      <c r="CB58" s="3548"/>
      <c r="CC58" s="3548"/>
      <c r="CD58" s="3548"/>
      <c r="CE58" s="3548"/>
      <c r="CF58" s="3548"/>
      <c r="CG58" s="3548"/>
      <c r="CH58" s="3548"/>
      <c r="CI58" s="3548"/>
      <c r="CJ58" s="3548"/>
      <c r="CK58" s="3548"/>
      <c r="CL58" s="3548"/>
      <c r="CM58" s="3548"/>
      <c r="CN58" s="3548"/>
      <c r="CO58" s="3548"/>
    </row>
    <row r="59" spans="2:93" ht="17.25" thickBot="1" x14ac:dyDescent="0.25">
      <c r="B59" s="3554" t="s">
        <v>1434</v>
      </c>
      <c r="C59" s="3555"/>
      <c r="D59" s="3556" t="s">
        <v>1058</v>
      </c>
      <c r="E59" s="3557">
        <v>519.99152499148295</v>
      </c>
      <c r="F59" s="3558">
        <v>551.62700027898313</v>
      </c>
      <c r="G59" s="3559">
        <v>678.57528114664296</v>
      </c>
      <c r="H59">
        <v>830.4842299559549</v>
      </c>
      <c r="I59">
        <v>820.9279944768399</v>
      </c>
      <c r="J59">
        <v>837.98606929272671</v>
      </c>
      <c r="K59">
        <v>1009.6128292200895</v>
      </c>
      <c r="L59">
        <v>1074.5686182320401</v>
      </c>
      <c r="M59">
        <v>655.7356362405493</v>
      </c>
      <c r="N59">
        <v>862.19076774700466</v>
      </c>
      <c r="O59" s="3562">
        <v>2751.1158423241645</v>
      </c>
      <c r="P59" s="3683">
        <v>382.52087486106666</v>
      </c>
      <c r="Q59" s="3684">
        <v>435.43293446986661</v>
      </c>
      <c r="R59" s="3685">
        <v>487.40793446986669</v>
      </c>
      <c r="S59">
        <v>748.92332543194061</v>
      </c>
      <c r="T59">
        <v>800.87124202725295</v>
      </c>
      <c r="U59">
        <v>852.81915862256551</v>
      </c>
      <c r="V59" s="3684">
        <v>748.92332543194061</v>
      </c>
      <c r="W59" s="3683">
        <v>818.18721422569047</v>
      </c>
      <c r="X59">
        <v>896.92931938069046</v>
      </c>
      <c r="Y59" s="3560">
        <v>1088.308757892642</v>
      </c>
      <c r="Z59" s="3558">
        <v>1163.9144663397892</v>
      </c>
      <c r="AA59" s="3559">
        <v>1230.5648772662751</v>
      </c>
      <c r="AB59">
        <v>1134.4181505397064</v>
      </c>
      <c r="AC59" s="3683">
        <v>1175.4080678950781</v>
      </c>
      <c r="AD59" s="3685">
        <v>1272.4502899263423</v>
      </c>
      <c r="AE59" s="3563"/>
      <c r="AF59" s="3560">
        <v>1038.1232749073683</v>
      </c>
      <c r="AG59" s="3558">
        <v>1079.4290021800957</v>
      </c>
      <c r="AH59" s="3559">
        <v>1075.2252481623987</v>
      </c>
      <c r="AI59" s="3684">
        <v>981.73572681507437</v>
      </c>
      <c r="AJ59" s="3683">
        <v>1026.8815904514381</v>
      </c>
      <c r="AK59">
        <v>1085.6216558894228</v>
      </c>
      <c r="AL59" s="3564">
        <v>201.61702355200001</v>
      </c>
      <c r="AM59" s="3558">
        <v>208.98802355199999</v>
      </c>
      <c r="AN59" s="3565">
        <v>222.98662002400005</v>
      </c>
      <c r="AO59" s="3684">
        <v>876.83914564001009</v>
      </c>
      <c r="AP59" s="3683">
        <v>907.32297314001005</v>
      </c>
      <c r="AQ59" s="3685">
        <v>944.5359305318126</v>
      </c>
      <c r="AR59" s="3561">
        <v>887.57140001662788</v>
      </c>
      <c r="AS59" s="3558">
        <v>917.65703655508935</v>
      </c>
      <c r="AT59" s="3559">
        <v>952.91892685647588</v>
      </c>
      <c r="AU59" s="3684">
        <v>931.53365487469262</v>
      </c>
      <c r="AV59" s="3683">
        <v>967.73735487469253</v>
      </c>
      <c r="AW59" s="3685">
        <v>1008.2135182980593</v>
      </c>
      <c r="AX59" s="3560">
        <v>684.55620998236213</v>
      </c>
      <c r="AY59" s="3558">
        <v>710.99449407327143</v>
      </c>
      <c r="AZ59" s="3559">
        <v>737.43277816418049</v>
      </c>
      <c r="BA59" s="3561">
        <v>1098.5681539352349</v>
      </c>
      <c r="BB59" s="3558">
        <v>1175.2290993897805</v>
      </c>
      <c r="BC59" s="3559">
        <v>1267.6558993176714</v>
      </c>
      <c r="BD59" s="3561">
        <v>634.4533936661926</v>
      </c>
      <c r="BE59" s="3558">
        <v>652.40121166619247</v>
      </c>
      <c r="BF59" s="3559">
        <v>670.34902966619256</v>
      </c>
      <c r="BG59" s="3561">
        <v>981.8659169626726</v>
      </c>
      <c r="BH59" s="3558">
        <v>1036.6036149626725</v>
      </c>
      <c r="BI59" s="3559">
        <v>1101.5952251787526</v>
      </c>
      <c r="BJ59" s="3565">
        <v>776.5281149086411</v>
      </c>
      <c r="BK59" s="3559">
        <v>794.68168390864116</v>
      </c>
      <c r="BL59" s="3559">
        <v>812.83525290864122</v>
      </c>
      <c r="BM59" s="3559">
        <v>1496.9657266398399</v>
      </c>
      <c r="BN59" s="3559">
        <v>1552.9450271227943</v>
      </c>
      <c r="BO59" s="3559">
        <v>1622.589518456723</v>
      </c>
      <c r="BP59" s="3562">
        <v>294.37256354027704</v>
      </c>
      <c r="BQ59" s="3562">
        <v>850.73075675277107</v>
      </c>
      <c r="BR59" s="3559">
        <v>575.559053261136</v>
      </c>
      <c r="BS59" s="3559">
        <v>617.57794836113601</v>
      </c>
      <c r="BT59" s="3559">
        <v>666.7745820123921</v>
      </c>
      <c r="BU59" s="3559">
        <v>1457.0211763812613</v>
      </c>
      <c r="BV59" s="3559">
        <v>1533.1331467844871</v>
      </c>
      <c r="BW59" s="3559">
        <v>1633.2588885213968</v>
      </c>
      <c r="BX59" s="3559">
        <v>1274.686606255176</v>
      </c>
      <c r="BY59" s="3559">
        <v>1385.4283012551757</v>
      </c>
      <c r="BZ59" s="3559">
        <v>1515.396081660326</v>
      </c>
      <c r="CA59" s="3559">
        <v>1053.033625931286</v>
      </c>
      <c r="CB59" s="3559">
        <v>1121.319505131286</v>
      </c>
      <c r="CC59" s="3559">
        <v>1203.9608614337978</v>
      </c>
      <c r="CD59" s="3559">
        <v>1087.2616062551758</v>
      </c>
      <c r="CE59" s="3559">
        <v>1177.1783012551759</v>
      </c>
      <c r="CF59" s="3559">
        <v>1286.3210816603259</v>
      </c>
      <c r="CG59" s="3559">
        <v>1501.4578761975904</v>
      </c>
      <c r="CH59" s="3559">
        <v>1576.0166961975904</v>
      </c>
      <c r="CI59" s="3559">
        <v>1658.3123590221971</v>
      </c>
      <c r="CJ59" s="3559">
        <v>1087.2616062551758</v>
      </c>
      <c r="CK59" s="3559">
        <v>1177.1783012551759</v>
      </c>
      <c r="CL59" s="3559">
        <v>1286.3210816603259</v>
      </c>
      <c r="CM59" s="3559">
        <v>857.92693780232253</v>
      </c>
      <c r="CN59" s="3559">
        <v>944.68953780232255</v>
      </c>
      <c r="CO59" s="3559">
        <v>1050.6782232074727</v>
      </c>
    </row>
    <row r="60" spans="2:93" ht="15" x14ac:dyDescent="0.2">
      <c r="B60" s="3566" t="s">
        <v>1435</v>
      </c>
      <c r="C60" s="3567"/>
      <c r="D60" s="3568"/>
      <c r="E60" s="3569" t="s">
        <v>1436</v>
      </c>
      <c r="F60" s="3570"/>
      <c r="G60" s="3571"/>
      <c r="H60"/>
      <c r="I60"/>
      <c r="J60"/>
      <c r="K60"/>
      <c r="L60"/>
      <c r="O60" s="3571"/>
      <c r="P60" s="3686"/>
      <c r="Q60" s="3686"/>
      <c r="R60" s="3687"/>
      <c r="S60" t="s">
        <v>1436</v>
      </c>
      <c r="T60"/>
      <c r="U60"/>
      <c r="V60" s="3686"/>
      <c r="W60" s="3686"/>
      <c r="X60" s="3686"/>
      <c r="Y60" s="3571"/>
      <c r="Z60" s="3571"/>
      <c r="AA60" s="3571"/>
      <c r="AB60" s="3686"/>
      <c r="AC60" s="3686"/>
      <c r="AD60"/>
      <c r="AE60" s="3574"/>
      <c r="AF60" s="3573" t="s">
        <v>1436</v>
      </c>
      <c r="AG60" s="3571"/>
      <c r="AH60" s="3571"/>
      <c r="AI60" s="3686"/>
      <c r="AJ60" s="3686"/>
      <c r="AK60" s="3686"/>
      <c r="AL60" s="3571"/>
      <c r="AM60" s="3571"/>
      <c r="AN60" s="3571"/>
      <c r="AO60" s="3686"/>
      <c r="AP60" s="3686"/>
      <c r="AQ60" s="3686"/>
      <c r="AR60" s="3571"/>
      <c r="AS60" s="3571"/>
      <c r="AT60" s="3571"/>
      <c r="AU60" s="3686"/>
      <c r="AV60" s="3686"/>
      <c r="AW60" s="3687"/>
      <c r="AX60" s="3573" t="s">
        <v>1437</v>
      </c>
      <c r="AY60" s="3571"/>
      <c r="AZ60" s="3572"/>
      <c r="BA60" s="3571"/>
      <c r="BB60" s="3571"/>
      <c r="BC60" s="3571"/>
      <c r="BD60" s="3571"/>
      <c r="BE60" s="3571"/>
      <c r="BF60" s="3571"/>
      <c r="BG60" s="3571"/>
      <c r="BH60" s="3571"/>
      <c r="BI60" s="3571"/>
      <c r="BJ60" s="3569"/>
      <c r="BK60" s="3571"/>
      <c r="BL60" s="3571"/>
      <c r="BM60" s="3571"/>
      <c r="BN60" s="3571"/>
      <c r="BO60" s="3572"/>
      <c r="BP60" s="3573" t="s">
        <v>1437</v>
      </c>
      <c r="BQ60" s="3572"/>
      <c r="BR60" s="3572"/>
      <c r="BS60" s="3572"/>
      <c r="BT60" s="3572"/>
      <c r="BU60" s="3572"/>
      <c r="BV60" s="3572"/>
      <c r="BW60" s="3572"/>
      <c r="BX60" s="3572"/>
      <c r="BY60" s="3572"/>
      <c r="BZ60" s="3572"/>
      <c r="CA60" s="3572"/>
      <c r="CB60" s="3572"/>
      <c r="CC60" s="3572"/>
      <c r="CD60" s="3572"/>
      <c r="CE60" s="3572"/>
      <c r="CF60" s="3572"/>
      <c r="CG60" s="3572"/>
      <c r="CH60" s="3572"/>
      <c r="CI60" s="3572"/>
      <c r="CJ60" s="3572"/>
      <c r="CK60" s="3572"/>
      <c r="CL60" s="3572"/>
      <c r="CM60" s="3572"/>
      <c r="CN60" s="3572"/>
      <c r="CO60" s="3572"/>
    </row>
    <row r="61" spans="2:93" ht="15.75" thickBot="1" x14ac:dyDescent="0.25">
      <c r="B61" s="3575"/>
      <c r="C61" s="3576"/>
      <c r="D61" s="3577"/>
      <c r="E61" s="3578" t="s">
        <v>1438</v>
      </c>
      <c r="F61" s="3579"/>
      <c r="G61" s="3579"/>
      <c r="H61"/>
      <c r="I61"/>
      <c r="J61"/>
      <c r="K61"/>
      <c r="L61"/>
      <c r="O61" s="3580"/>
      <c r="P61" s="3688"/>
      <c r="Q61" s="3688"/>
      <c r="R61" s="3689"/>
      <c r="S61" t="s">
        <v>1438</v>
      </c>
      <c r="T61"/>
      <c r="U61"/>
      <c r="V61" s="3688"/>
      <c r="W61" s="3688"/>
      <c r="X61" s="3688"/>
      <c r="Y61" s="3580"/>
      <c r="Z61" s="3580"/>
      <c r="AA61" s="3579"/>
      <c r="AB61"/>
      <c r="AC61"/>
      <c r="AD61"/>
      <c r="AE61" s="3583"/>
      <c r="AF61" s="3582" t="s">
        <v>1439</v>
      </c>
      <c r="AG61" s="3579"/>
      <c r="AH61" s="3579"/>
      <c r="AI61"/>
      <c r="AJ61"/>
      <c r="AK61"/>
      <c r="AL61" s="3579"/>
      <c r="AM61" s="3579"/>
      <c r="AN61" s="3579"/>
      <c r="AO61"/>
      <c r="AP61"/>
      <c r="AQ61"/>
      <c r="AR61" s="3579"/>
      <c r="AS61" s="3579"/>
      <c r="AT61" s="3579"/>
      <c r="AU61"/>
      <c r="AV61"/>
      <c r="AW61"/>
      <c r="AX61" s="3582" t="s">
        <v>1438</v>
      </c>
      <c r="AY61" s="3579"/>
      <c r="AZ61" s="3579"/>
      <c r="BA61" s="3579"/>
      <c r="BB61" s="3579"/>
      <c r="BC61" s="3579"/>
      <c r="BD61" s="3579"/>
      <c r="BE61" s="3579"/>
      <c r="BF61" s="3579"/>
      <c r="BG61" s="3579"/>
      <c r="BH61" s="3579"/>
      <c r="BI61" s="3579"/>
      <c r="BJ61" s="3578"/>
      <c r="BK61" s="3579"/>
      <c r="BL61" s="3579"/>
      <c r="BM61" s="3579"/>
      <c r="BN61" s="3579"/>
      <c r="BO61" s="3583"/>
      <c r="BP61" s="3582" t="s">
        <v>1438</v>
      </c>
      <c r="BQ61" s="3581"/>
      <c r="BR61" s="3581"/>
      <c r="BS61" s="3581"/>
      <c r="BT61" s="3581"/>
      <c r="BU61" s="3581"/>
      <c r="BV61" s="3581"/>
      <c r="BW61" s="3581"/>
      <c r="BX61" s="3581"/>
      <c r="BY61" s="3581"/>
      <c r="BZ61" s="3581"/>
      <c r="CA61" s="3581"/>
      <c r="CB61" s="3581"/>
      <c r="CC61" s="3581"/>
      <c r="CD61" s="3581"/>
      <c r="CE61" s="3581"/>
      <c r="CF61" s="3581"/>
      <c r="CG61" s="3581"/>
      <c r="CH61" s="3581"/>
      <c r="CI61" s="3581"/>
      <c r="CJ61" s="3581"/>
      <c r="CK61" s="3581"/>
      <c r="CL61" s="3581"/>
      <c r="CM61" s="3581"/>
      <c r="CN61" s="3581"/>
      <c r="CO61" s="3581"/>
    </row>
  </sheetData>
  <mergeCells count="10">
    <mergeCell ref="S2:AD2"/>
    <mergeCell ref="AF2:AW2"/>
    <mergeCell ref="AX2:BO2"/>
    <mergeCell ref="BP2:CF2"/>
    <mergeCell ref="E3:G3"/>
    <mergeCell ref="H3:L3"/>
    <mergeCell ref="M3:N3"/>
    <mergeCell ref="P3:R3"/>
    <mergeCell ref="Y3:AA3"/>
    <mergeCell ref="AB3:AD3"/>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O61"/>
  <sheetViews>
    <sheetView topLeftCell="A32" workbookViewId="0">
      <selection activeCell="E24" sqref="E24"/>
    </sheetView>
  </sheetViews>
  <sheetFormatPr baseColWidth="10" defaultRowHeight="12.75" x14ac:dyDescent="0.2"/>
  <cols>
    <col min="1" max="1" width="5.140625" customWidth="1"/>
    <col min="3" max="3" width="25.42578125" customWidth="1"/>
    <col min="4" max="4" width="22.85546875" customWidth="1"/>
    <col min="5" max="5" width="12.42578125" customWidth="1"/>
    <col min="6" max="6" width="11.7109375" customWidth="1"/>
    <col min="7" max="7" width="11.42578125" customWidth="1"/>
    <col min="8" max="8" width="11.42578125" style="3690" customWidth="1"/>
    <col min="9" max="10" width="11.85546875" style="3690" customWidth="1"/>
    <col min="11" max="11" width="11.28515625" style="3690" customWidth="1"/>
    <col min="12" max="12" width="12.42578125" style="3690" customWidth="1"/>
    <col min="13" max="13" width="11.42578125" customWidth="1"/>
    <col min="14" max="15" width="11.85546875" customWidth="1"/>
    <col min="16" max="18" width="11.85546875" style="3589" customWidth="1"/>
    <col min="19" max="21" width="11" style="3690"/>
    <col min="22" max="24" width="11" style="3589"/>
    <col min="28" max="30" width="11" style="3589"/>
    <col min="35" max="37" width="11" style="3589"/>
    <col min="41" max="43" width="11" style="3589"/>
    <col min="47" max="49" width="11" style="3589"/>
  </cols>
  <sheetData>
    <row r="1" spans="2:93" ht="13.5" thickBot="1" x14ac:dyDescent="0.25"/>
    <row r="2" spans="2:93" ht="27" thickBot="1" x14ac:dyDescent="0.25">
      <c r="B2" s="3154" t="s">
        <v>1332</v>
      </c>
      <c r="C2" s="3155"/>
      <c r="D2" s="3156">
        <v>2016</v>
      </c>
      <c r="E2" s="3157"/>
      <c r="F2" s="3155"/>
      <c r="G2" s="3158" t="s">
        <v>1333</v>
      </c>
      <c r="H2" s="3698"/>
      <c r="I2" s="3698"/>
      <c r="J2" s="3698"/>
      <c r="K2" s="3698"/>
      <c r="L2" s="3698"/>
      <c r="O2" s="3158"/>
      <c r="P2" s="3590"/>
      <c r="Q2" s="3591"/>
      <c r="R2" s="3590"/>
      <c r="S2" s="4074" t="s">
        <v>1334</v>
      </c>
      <c r="T2" s="4075"/>
      <c r="U2" s="4075"/>
      <c r="V2" s="4075"/>
      <c r="W2" s="4075"/>
      <c r="X2" s="4075"/>
      <c r="Y2" s="4075"/>
      <c r="Z2" s="4075"/>
      <c r="AA2" s="4075"/>
      <c r="AB2" s="4075"/>
      <c r="AC2" s="4075"/>
      <c r="AD2" s="4076"/>
      <c r="AE2" s="3159"/>
      <c r="AF2" s="4074" t="s">
        <v>1334</v>
      </c>
      <c r="AG2" s="4075"/>
      <c r="AH2" s="4075"/>
      <c r="AI2" s="4075"/>
      <c r="AJ2" s="4075"/>
      <c r="AK2" s="4075"/>
      <c r="AL2" s="4075"/>
      <c r="AM2" s="4075"/>
      <c r="AN2" s="4075"/>
      <c r="AO2" s="4075"/>
      <c r="AP2" s="4075"/>
      <c r="AQ2" s="4075"/>
      <c r="AR2" s="4077"/>
      <c r="AS2" s="4077"/>
      <c r="AT2" s="4077"/>
      <c r="AU2" s="4077"/>
      <c r="AV2" s="4077"/>
      <c r="AW2" s="4078"/>
      <c r="AX2" s="4079" t="s">
        <v>1335</v>
      </c>
      <c r="AY2" s="4080"/>
      <c r="AZ2" s="4080"/>
      <c r="BA2" s="4080"/>
      <c r="BB2" s="4080"/>
      <c r="BC2" s="4080"/>
      <c r="BD2" s="4080"/>
      <c r="BE2" s="4080"/>
      <c r="BF2" s="4080"/>
      <c r="BG2" s="4080"/>
      <c r="BH2" s="4080"/>
      <c r="BI2" s="4080"/>
      <c r="BJ2" s="4080"/>
      <c r="BK2" s="4080"/>
      <c r="BL2" s="4080"/>
      <c r="BM2" s="4080"/>
      <c r="BN2" s="4080"/>
      <c r="BO2" s="4081"/>
      <c r="BP2" s="4079" t="s">
        <v>1336</v>
      </c>
      <c r="BQ2" s="4080"/>
      <c r="BR2" s="4080"/>
      <c r="BS2" s="4080"/>
      <c r="BT2" s="4080"/>
      <c r="BU2" s="4080"/>
      <c r="BV2" s="4080"/>
      <c r="BW2" s="4080"/>
      <c r="BX2" s="4080"/>
      <c r="BY2" s="4080"/>
      <c r="BZ2" s="4080"/>
      <c r="CA2" s="4080"/>
      <c r="CB2" s="4080"/>
      <c r="CC2" s="4080"/>
      <c r="CD2" s="4080"/>
      <c r="CE2" s="4080"/>
      <c r="CF2" s="4081"/>
      <c r="CG2" s="3160"/>
      <c r="CH2" s="3161"/>
      <c r="CI2" s="3160"/>
      <c r="CJ2" s="3160"/>
      <c r="CK2" s="3160"/>
      <c r="CL2" s="3160"/>
      <c r="CM2" s="3160"/>
      <c r="CN2" s="3160"/>
      <c r="CO2" s="3162"/>
    </row>
    <row r="3" spans="2:93" ht="186.75" thickBot="1" x14ac:dyDescent="0.25">
      <c r="B3" s="3163" t="s">
        <v>1337</v>
      </c>
      <c r="C3" s="3164"/>
      <c r="D3" s="3165"/>
      <c r="E3" s="4082" t="s">
        <v>1338</v>
      </c>
      <c r="F3" s="4083"/>
      <c r="G3" s="4084"/>
      <c r="H3" s="4085" t="s">
        <v>1339</v>
      </c>
      <c r="I3" s="4086"/>
      <c r="J3" s="4086"/>
      <c r="K3" s="4086"/>
      <c r="L3" s="4087"/>
      <c r="M3" s="4088" t="s">
        <v>417</v>
      </c>
      <c r="N3" s="4088"/>
      <c r="O3" s="3166" t="s">
        <v>1340</v>
      </c>
      <c r="P3" s="4089" t="s">
        <v>248</v>
      </c>
      <c r="Q3" s="4090"/>
      <c r="R3" s="4091"/>
      <c r="S3" t="s">
        <v>1341</v>
      </c>
      <c r="T3"/>
      <c r="U3"/>
      <c r="V3" t="s">
        <v>1342</v>
      </c>
      <c r="W3"/>
      <c r="X3"/>
      <c r="Y3" s="4092" t="s">
        <v>1343</v>
      </c>
      <c r="Z3" s="4093"/>
      <c r="AA3" s="4088"/>
      <c r="AB3" s="4089" t="s">
        <v>1344</v>
      </c>
      <c r="AC3" s="4090"/>
      <c r="AD3" s="4091"/>
      <c r="AE3" s="3170"/>
      <c r="AF3" s="3167" t="s">
        <v>1345</v>
      </c>
      <c r="AG3" s="3168"/>
      <c r="AH3" s="3169"/>
      <c r="AI3" t="s">
        <v>1346</v>
      </c>
      <c r="AJ3"/>
      <c r="AK3"/>
      <c r="AL3" s="3167" t="s">
        <v>1347</v>
      </c>
      <c r="AM3" s="3168"/>
      <c r="AN3" s="3169"/>
      <c r="AO3" t="s">
        <v>1348</v>
      </c>
      <c r="AP3"/>
      <c r="AQ3"/>
      <c r="AR3" s="3168" t="s">
        <v>1349</v>
      </c>
      <c r="AS3" s="3168"/>
      <c r="AT3" s="3169"/>
      <c r="AU3" t="s">
        <v>1350</v>
      </c>
      <c r="AV3"/>
      <c r="AW3"/>
      <c r="AX3" s="3167" t="s">
        <v>1351</v>
      </c>
      <c r="AY3" s="3168"/>
      <c r="AZ3" s="3169"/>
      <c r="BA3" s="3168" t="s">
        <v>1352</v>
      </c>
      <c r="BB3" s="3168"/>
      <c r="BC3" s="3169"/>
      <c r="BD3" s="3168" t="s">
        <v>1353</v>
      </c>
      <c r="BE3" s="3168"/>
      <c r="BF3" s="3169"/>
      <c r="BG3" s="3168" t="s">
        <v>1354</v>
      </c>
      <c r="BH3" s="3168"/>
      <c r="BI3" s="3169"/>
      <c r="BJ3" s="3168" t="s">
        <v>1355</v>
      </c>
      <c r="BK3" s="3168"/>
      <c r="BL3" s="3169"/>
      <c r="BM3" s="3168" t="s">
        <v>1356</v>
      </c>
      <c r="BN3" s="3168"/>
      <c r="BO3" s="3169"/>
      <c r="BP3" s="3171" t="s">
        <v>1357</v>
      </c>
      <c r="BQ3" s="3169" t="s">
        <v>1358</v>
      </c>
      <c r="BR3" s="3171" t="s">
        <v>1359</v>
      </c>
      <c r="BS3" s="3168"/>
      <c r="BT3" s="3169"/>
      <c r="BU3" s="3171" t="s">
        <v>1360</v>
      </c>
      <c r="BV3" s="3168"/>
      <c r="BW3" s="3169"/>
      <c r="BX3" s="3171" t="s">
        <v>1361</v>
      </c>
      <c r="BY3" s="3168"/>
      <c r="BZ3" s="3169"/>
      <c r="CA3" s="3171" t="s">
        <v>1362</v>
      </c>
      <c r="CB3" s="3168"/>
      <c r="CC3" s="3169"/>
      <c r="CD3" s="3171" t="s">
        <v>1363</v>
      </c>
      <c r="CE3" s="3168"/>
      <c r="CF3" s="3169"/>
      <c r="CG3" s="3171" t="s">
        <v>1364</v>
      </c>
      <c r="CH3" s="3168"/>
      <c r="CI3" s="3169"/>
      <c r="CJ3" s="3171" t="s">
        <v>1365</v>
      </c>
      <c r="CK3" s="3168"/>
      <c r="CL3" s="3169"/>
      <c r="CM3" s="3171" t="s">
        <v>1366</v>
      </c>
      <c r="CN3" s="3168"/>
      <c r="CO3" s="3169"/>
    </row>
    <row r="4" spans="2:93" ht="54" x14ac:dyDescent="0.2">
      <c r="B4" s="3172" t="s">
        <v>1367</v>
      </c>
      <c r="C4" s="3173"/>
      <c r="D4" s="3174"/>
      <c r="E4" s="3175" t="s">
        <v>1368</v>
      </c>
      <c r="F4" s="3176" t="s">
        <v>1369</v>
      </c>
      <c r="G4" s="3177" t="s">
        <v>1370</v>
      </c>
      <c r="H4" s="3699" t="s">
        <v>1371</v>
      </c>
      <c r="I4" s="3700" t="s">
        <v>1372</v>
      </c>
      <c r="J4" s="3700" t="s">
        <v>1371</v>
      </c>
      <c r="K4" s="3701" t="s">
        <v>1373</v>
      </c>
      <c r="L4" s="3702" t="s">
        <v>1374</v>
      </c>
      <c r="M4" t="s">
        <v>1375</v>
      </c>
      <c r="N4" t="s">
        <v>1376</v>
      </c>
      <c r="O4" s="3179" t="s">
        <v>1377</v>
      </c>
      <c r="P4" s="3592" t="s">
        <v>1378</v>
      </c>
      <c r="Q4" s="3592" t="s">
        <v>1379</v>
      </c>
      <c r="R4" s="3593" t="s">
        <v>1380</v>
      </c>
      <c r="S4" t="s">
        <v>1074</v>
      </c>
      <c r="T4" t="s">
        <v>1075</v>
      </c>
      <c r="U4" t="s">
        <v>1076</v>
      </c>
      <c r="V4" t="s">
        <v>1074</v>
      </c>
      <c r="W4" t="s">
        <v>1075</v>
      </c>
      <c r="X4" t="s">
        <v>1076</v>
      </c>
      <c r="Y4" s="3180" t="s">
        <v>1074</v>
      </c>
      <c r="Z4" s="3181" t="s">
        <v>1075</v>
      </c>
      <c r="AA4" s="3182" t="s">
        <v>1076</v>
      </c>
      <c r="AB4" t="s">
        <v>1074</v>
      </c>
      <c r="AC4" t="s">
        <v>1075</v>
      </c>
      <c r="AD4" t="s">
        <v>1076</v>
      </c>
      <c r="AE4" s="3183"/>
      <c r="AF4" s="3180" t="s">
        <v>1074</v>
      </c>
      <c r="AG4" s="3181" t="s">
        <v>1075</v>
      </c>
      <c r="AH4" s="3182" t="s">
        <v>1076</v>
      </c>
      <c r="AI4" t="s">
        <v>1074</v>
      </c>
      <c r="AJ4" t="s">
        <v>1075</v>
      </c>
      <c r="AK4" t="s">
        <v>1076</v>
      </c>
      <c r="AL4" s="3184" t="s">
        <v>1074</v>
      </c>
      <c r="AM4" s="3181" t="s">
        <v>1075</v>
      </c>
      <c r="AN4" s="3185" t="s">
        <v>1076</v>
      </c>
      <c r="AO4" t="s">
        <v>1074</v>
      </c>
      <c r="AP4" t="s">
        <v>1075</v>
      </c>
      <c r="AQ4" t="s">
        <v>1076</v>
      </c>
      <c r="AR4" s="3178" t="s">
        <v>1074</v>
      </c>
      <c r="AS4" s="3181" t="s">
        <v>1075</v>
      </c>
      <c r="AT4" s="3186" t="s">
        <v>1076</v>
      </c>
      <c r="AU4" t="s">
        <v>1074</v>
      </c>
      <c r="AV4" t="s">
        <v>1075</v>
      </c>
      <c r="AW4" t="s">
        <v>1076</v>
      </c>
      <c r="AX4" s="3180" t="s">
        <v>1074</v>
      </c>
      <c r="AY4" s="3181" t="s">
        <v>1075</v>
      </c>
      <c r="AZ4" s="3186" t="s">
        <v>1076</v>
      </c>
      <c r="BA4" s="3178" t="s">
        <v>1074</v>
      </c>
      <c r="BB4" s="3181" t="s">
        <v>1075</v>
      </c>
      <c r="BC4" s="3186" t="s">
        <v>1076</v>
      </c>
      <c r="BD4" s="3178" t="s">
        <v>1074</v>
      </c>
      <c r="BE4" s="3181" t="s">
        <v>1075</v>
      </c>
      <c r="BF4" s="3186" t="s">
        <v>1076</v>
      </c>
      <c r="BG4" s="3178" t="s">
        <v>1074</v>
      </c>
      <c r="BH4" s="3181" t="s">
        <v>1075</v>
      </c>
      <c r="BI4" s="3186" t="s">
        <v>1076</v>
      </c>
      <c r="BJ4" s="3187" t="s">
        <v>1381</v>
      </c>
      <c r="BK4" s="3187" t="s">
        <v>1075</v>
      </c>
      <c r="BL4" s="3187" t="s">
        <v>1076</v>
      </c>
      <c r="BM4" s="3187" t="s">
        <v>1381</v>
      </c>
      <c r="BN4" s="3187" t="s">
        <v>1075</v>
      </c>
      <c r="BO4" s="3187" t="s">
        <v>1076</v>
      </c>
      <c r="BP4" s="3188" t="s">
        <v>1382</v>
      </c>
      <c r="BQ4" s="3188" t="s">
        <v>1382</v>
      </c>
      <c r="BR4" s="3187" t="s">
        <v>1381</v>
      </c>
      <c r="BS4" s="3187" t="s">
        <v>1075</v>
      </c>
      <c r="BT4" s="3187" t="s">
        <v>1076</v>
      </c>
      <c r="BU4" s="3187" t="s">
        <v>1381</v>
      </c>
      <c r="BV4" s="3187" t="s">
        <v>1075</v>
      </c>
      <c r="BW4" s="3187" t="s">
        <v>1076</v>
      </c>
      <c r="BX4" s="3187" t="s">
        <v>1381</v>
      </c>
      <c r="BY4" s="3187" t="s">
        <v>1075</v>
      </c>
      <c r="BZ4" s="3187" t="s">
        <v>1076</v>
      </c>
      <c r="CA4" s="3187" t="s">
        <v>1381</v>
      </c>
      <c r="CB4" s="3187" t="s">
        <v>1075</v>
      </c>
      <c r="CC4" s="3187" t="s">
        <v>1076</v>
      </c>
      <c r="CD4" s="3187" t="s">
        <v>1381</v>
      </c>
      <c r="CE4" s="3187" t="s">
        <v>1075</v>
      </c>
      <c r="CF4" s="3187" t="s">
        <v>1076</v>
      </c>
      <c r="CG4" s="3187" t="s">
        <v>1381</v>
      </c>
      <c r="CH4" s="3187" t="s">
        <v>1075</v>
      </c>
      <c r="CI4" s="3187" t="s">
        <v>1076</v>
      </c>
      <c r="CJ4" s="3187" t="s">
        <v>1381</v>
      </c>
      <c r="CK4" s="3187" t="s">
        <v>1075</v>
      </c>
      <c r="CL4" s="3187" t="s">
        <v>1076</v>
      </c>
      <c r="CM4" s="3187" t="s">
        <v>1381</v>
      </c>
      <c r="CN4" s="3187" t="s">
        <v>1075</v>
      </c>
      <c r="CO4" s="3187" t="s">
        <v>1076</v>
      </c>
    </row>
    <row r="5" spans="2:93" ht="16.5" x14ac:dyDescent="0.2">
      <c r="B5" s="3189" t="s">
        <v>1383</v>
      </c>
      <c r="C5" s="3190"/>
      <c r="D5" s="3191" t="s">
        <v>1384</v>
      </c>
      <c r="E5" s="3192">
        <v>70</v>
      </c>
      <c r="F5" s="3193">
        <v>75</v>
      </c>
      <c r="G5" s="3194">
        <v>110</v>
      </c>
      <c r="H5" s="3703">
        <v>70</v>
      </c>
      <c r="I5" s="3704">
        <v>75</v>
      </c>
      <c r="J5" s="3704">
        <v>75</v>
      </c>
      <c r="K5" s="3705">
        <v>110</v>
      </c>
      <c r="L5" s="3706">
        <v>75</v>
      </c>
      <c r="M5">
        <v>60</v>
      </c>
      <c r="N5">
        <v>75</v>
      </c>
      <c r="O5" s="3197">
        <v>110</v>
      </c>
      <c r="P5" s="3594">
        <v>60</v>
      </c>
      <c r="Q5" s="3595">
        <v>90</v>
      </c>
      <c r="R5" s="3596">
        <v>95</v>
      </c>
      <c r="S5" s="3703">
        <v>90</v>
      </c>
      <c r="T5" s="3705">
        <v>105</v>
      </c>
      <c r="U5">
        <v>120</v>
      </c>
      <c r="V5">
        <v>90</v>
      </c>
      <c r="W5">
        <v>110</v>
      </c>
      <c r="X5" s="3606">
        <v>130</v>
      </c>
      <c r="Y5" s="3195">
        <v>90</v>
      </c>
      <c r="Z5" s="3193">
        <v>110</v>
      </c>
      <c r="AA5" s="3194">
        <v>130</v>
      </c>
      <c r="AB5">
        <v>90</v>
      </c>
      <c r="AC5" s="3594">
        <v>110</v>
      </c>
      <c r="AD5" s="3596">
        <v>130</v>
      </c>
      <c r="AE5" s="3198"/>
      <c r="AF5" s="3195">
        <v>110</v>
      </c>
      <c r="AG5" s="3193">
        <v>130</v>
      </c>
      <c r="AH5" s="3194">
        <v>150</v>
      </c>
      <c r="AI5" s="3595">
        <v>120</v>
      </c>
      <c r="AJ5" s="3594">
        <v>145</v>
      </c>
      <c r="AK5">
        <v>170</v>
      </c>
      <c r="AL5" s="3199">
        <v>25</v>
      </c>
      <c r="AM5" s="3193">
        <v>32</v>
      </c>
      <c r="AN5" s="3200">
        <v>40</v>
      </c>
      <c r="AO5" s="3595">
        <v>90</v>
      </c>
      <c r="AP5" s="3594">
        <v>105</v>
      </c>
      <c r="AQ5" s="3596">
        <v>120</v>
      </c>
      <c r="AR5" s="3196">
        <v>100</v>
      </c>
      <c r="AS5" s="3193">
        <v>115</v>
      </c>
      <c r="AT5" s="3194">
        <v>130</v>
      </c>
      <c r="AU5" s="3595">
        <v>90</v>
      </c>
      <c r="AV5" s="3594">
        <v>105</v>
      </c>
      <c r="AW5" s="3596">
        <v>120</v>
      </c>
      <c r="AX5" s="3195">
        <v>120</v>
      </c>
      <c r="AY5" s="3193">
        <v>150</v>
      </c>
      <c r="AZ5" s="3194">
        <v>180</v>
      </c>
      <c r="BA5" s="3196">
        <v>120</v>
      </c>
      <c r="BB5" s="3193">
        <v>150</v>
      </c>
      <c r="BC5" s="3194">
        <v>180</v>
      </c>
      <c r="BD5" s="3196">
        <v>100</v>
      </c>
      <c r="BE5" s="3193">
        <v>120</v>
      </c>
      <c r="BF5" s="3194">
        <v>140</v>
      </c>
      <c r="BG5" s="3196">
        <v>100</v>
      </c>
      <c r="BH5" s="3193">
        <v>120</v>
      </c>
      <c r="BI5" s="3194">
        <v>140</v>
      </c>
      <c r="BJ5" s="3200">
        <v>90</v>
      </c>
      <c r="BK5" s="3194">
        <v>110</v>
      </c>
      <c r="BL5" s="3194">
        <v>130</v>
      </c>
      <c r="BM5" s="3194">
        <v>100</v>
      </c>
      <c r="BN5" s="3194">
        <v>120</v>
      </c>
      <c r="BO5" s="3194">
        <v>140</v>
      </c>
      <c r="BP5" s="3197">
        <v>75</v>
      </c>
      <c r="BQ5" s="3197">
        <v>75</v>
      </c>
      <c r="BR5" s="3194">
        <v>50</v>
      </c>
      <c r="BS5" s="3194">
        <v>60</v>
      </c>
      <c r="BT5" s="3194">
        <v>70</v>
      </c>
      <c r="BU5" s="3194">
        <v>160</v>
      </c>
      <c r="BV5" s="3194">
        <v>190</v>
      </c>
      <c r="BW5" s="3194">
        <v>220</v>
      </c>
      <c r="BX5" s="3194">
        <v>100</v>
      </c>
      <c r="BY5" s="3194">
        <v>130</v>
      </c>
      <c r="BZ5" s="3194">
        <v>160</v>
      </c>
      <c r="CA5" s="3194">
        <v>80</v>
      </c>
      <c r="CB5" s="3194">
        <v>100</v>
      </c>
      <c r="CC5" s="3194">
        <v>120</v>
      </c>
      <c r="CD5" s="3194">
        <v>100</v>
      </c>
      <c r="CE5" s="3194">
        <v>130</v>
      </c>
      <c r="CF5" s="3194">
        <v>160</v>
      </c>
      <c r="CG5" s="3194">
        <v>180</v>
      </c>
      <c r="CH5" s="3194">
        <v>200</v>
      </c>
      <c r="CI5" s="3194">
        <v>220</v>
      </c>
      <c r="CJ5" s="3194">
        <v>100</v>
      </c>
      <c r="CK5" s="3194">
        <v>130</v>
      </c>
      <c r="CL5" s="3194">
        <v>160</v>
      </c>
      <c r="CM5" s="3194">
        <v>100</v>
      </c>
      <c r="CN5" s="3194">
        <v>130</v>
      </c>
      <c r="CO5" s="3194">
        <v>160</v>
      </c>
    </row>
    <row r="6" spans="2:93" ht="16.5" x14ac:dyDescent="0.2">
      <c r="B6" s="3189" t="s">
        <v>1385</v>
      </c>
      <c r="C6" s="3190"/>
      <c r="D6" s="3191" t="s">
        <v>1384</v>
      </c>
      <c r="E6" s="3201">
        <v>66.5</v>
      </c>
      <c r="F6" s="3202">
        <v>71.25</v>
      </c>
      <c r="G6" s="3203">
        <v>104.5</v>
      </c>
      <c r="H6" s="3707">
        <v>66.5</v>
      </c>
      <c r="I6" s="3708">
        <v>71.25</v>
      </c>
      <c r="J6" s="3708">
        <v>71.25</v>
      </c>
      <c r="K6" s="3709">
        <v>104.5</v>
      </c>
      <c r="L6" s="3710">
        <v>71.25</v>
      </c>
      <c r="M6">
        <v>54</v>
      </c>
      <c r="N6">
        <v>67.5</v>
      </c>
      <c r="O6" s="3206">
        <v>104.5</v>
      </c>
      <c r="P6" s="3597">
        <v>48</v>
      </c>
      <c r="Q6" s="3598">
        <v>72</v>
      </c>
      <c r="R6" s="3599">
        <v>80.75</v>
      </c>
      <c r="S6" s="3707">
        <v>85.5</v>
      </c>
      <c r="T6" s="3709">
        <v>99.75</v>
      </c>
      <c r="U6">
        <v>114</v>
      </c>
      <c r="V6" s="3598">
        <v>85.5</v>
      </c>
      <c r="W6" s="3597">
        <v>104.5</v>
      </c>
      <c r="X6">
        <v>126.1</v>
      </c>
      <c r="Y6" s="3204">
        <v>85.5</v>
      </c>
      <c r="Z6" s="3202">
        <v>104.5</v>
      </c>
      <c r="AA6" s="3203">
        <v>123.5</v>
      </c>
      <c r="AB6">
        <v>85.5</v>
      </c>
      <c r="AC6" s="3597">
        <v>104.5</v>
      </c>
      <c r="AD6" s="3599">
        <v>123.5</v>
      </c>
      <c r="AE6" s="3207"/>
      <c r="AF6" s="3204">
        <v>110</v>
      </c>
      <c r="AG6" s="3202">
        <v>130</v>
      </c>
      <c r="AH6" s="3203">
        <v>150</v>
      </c>
      <c r="AI6" s="3598">
        <v>114</v>
      </c>
      <c r="AJ6" s="3597">
        <v>137.75</v>
      </c>
      <c r="AK6">
        <v>161.5</v>
      </c>
      <c r="AL6" s="3208">
        <v>23.75</v>
      </c>
      <c r="AM6" s="3202">
        <v>30.4</v>
      </c>
      <c r="AN6" s="3209">
        <v>38</v>
      </c>
      <c r="AO6" s="3598">
        <v>85.5</v>
      </c>
      <c r="AP6" s="3597">
        <v>99.75</v>
      </c>
      <c r="AQ6" s="3599">
        <v>114</v>
      </c>
      <c r="AR6" s="3205">
        <v>95</v>
      </c>
      <c r="AS6" s="3202">
        <v>109.25</v>
      </c>
      <c r="AT6" s="3203">
        <v>123.5</v>
      </c>
      <c r="AU6" s="3598">
        <v>85.5</v>
      </c>
      <c r="AV6" s="3597">
        <v>99.75</v>
      </c>
      <c r="AW6" s="3599">
        <v>114</v>
      </c>
      <c r="AX6" s="3204">
        <v>114</v>
      </c>
      <c r="AY6" s="3202">
        <v>142.5</v>
      </c>
      <c r="AZ6" s="3203">
        <v>171</v>
      </c>
      <c r="BA6" s="3205">
        <v>114</v>
      </c>
      <c r="BB6" s="3202">
        <v>142.5</v>
      </c>
      <c r="BC6" s="3203">
        <v>171</v>
      </c>
      <c r="BD6" s="3205">
        <v>95</v>
      </c>
      <c r="BE6" s="3202">
        <v>114</v>
      </c>
      <c r="BF6" s="3203">
        <v>133</v>
      </c>
      <c r="BG6" s="3205">
        <v>95</v>
      </c>
      <c r="BH6" s="3202">
        <v>114</v>
      </c>
      <c r="BI6" s="3203">
        <v>133</v>
      </c>
      <c r="BJ6" s="3209">
        <v>85.5</v>
      </c>
      <c r="BK6" s="3203">
        <v>104.5</v>
      </c>
      <c r="BL6" s="3203">
        <v>123.5</v>
      </c>
      <c r="BM6" s="3203">
        <v>95</v>
      </c>
      <c r="BN6" s="3203">
        <v>114</v>
      </c>
      <c r="BO6" s="3203">
        <v>133</v>
      </c>
      <c r="BP6" s="3206">
        <v>71.25</v>
      </c>
      <c r="BQ6" s="3206">
        <v>71.25</v>
      </c>
      <c r="BR6" s="3203">
        <v>47.5</v>
      </c>
      <c r="BS6" s="3203">
        <v>57</v>
      </c>
      <c r="BT6" s="3203">
        <v>66.5</v>
      </c>
      <c r="BU6" s="3203">
        <v>160</v>
      </c>
      <c r="BV6" s="3203">
        <v>180.5</v>
      </c>
      <c r="BW6" s="3203">
        <v>209</v>
      </c>
      <c r="BX6" s="3203">
        <v>95</v>
      </c>
      <c r="BY6" s="3203">
        <v>123.5</v>
      </c>
      <c r="BZ6" s="3203">
        <v>152</v>
      </c>
      <c r="CA6" s="3203">
        <v>76</v>
      </c>
      <c r="CB6" s="3203">
        <v>95</v>
      </c>
      <c r="CC6" s="3203">
        <v>114</v>
      </c>
      <c r="CD6" s="3203">
        <v>95</v>
      </c>
      <c r="CE6" s="3203">
        <v>123.5</v>
      </c>
      <c r="CF6" s="3203">
        <v>152</v>
      </c>
      <c r="CG6" s="3203">
        <v>171</v>
      </c>
      <c r="CH6" s="3203">
        <v>190</v>
      </c>
      <c r="CI6" s="3203">
        <v>209</v>
      </c>
      <c r="CJ6" s="3203">
        <v>95</v>
      </c>
      <c r="CK6" s="3203">
        <v>123.5</v>
      </c>
      <c r="CL6" s="3203">
        <v>152</v>
      </c>
      <c r="CM6" s="3203">
        <v>95</v>
      </c>
      <c r="CN6" s="3203">
        <v>123.5</v>
      </c>
      <c r="CO6" s="3203">
        <v>152</v>
      </c>
    </row>
    <row r="7" spans="2:93" ht="16.5" x14ac:dyDescent="0.2">
      <c r="B7" s="3210" t="s">
        <v>1386</v>
      </c>
      <c r="C7" s="3211"/>
      <c r="D7" s="3212" t="s">
        <v>1387</v>
      </c>
      <c r="E7" s="3201">
        <v>369.44444444444446</v>
      </c>
      <c r="F7" s="3202">
        <v>395.83333333333337</v>
      </c>
      <c r="G7" s="3203">
        <v>580.55555555555554</v>
      </c>
      <c r="H7" s="3707">
        <v>190</v>
      </c>
      <c r="I7" s="3708">
        <v>203.57142857142858</v>
      </c>
      <c r="J7" s="3708">
        <v>203.57142857142858</v>
      </c>
      <c r="K7" s="3709">
        <v>298.57142857142856</v>
      </c>
      <c r="L7" s="3710">
        <v>203.57142857142856</v>
      </c>
      <c r="M7">
        <v>62.79069767441861</v>
      </c>
      <c r="N7">
        <v>78.488372093023258</v>
      </c>
      <c r="O7" s="3206">
        <v>116.11111111111111</v>
      </c>
      <c r="P7" s="3597">
        <v>300</v>
      </c>
      <c r="Q7" s="3598">
        <v>450</v>
      </c>
      <c r="R7" s="3599">
        <v>504.6875</v>
      </c>
      <c r="S7" s="3707">
        <v>534.375</v>
      </c>
      <c r="T7" s="3709">
        <v>623.4375</v>
      </c>
      <c r="U7">
        <v>712.5</v>
      </c>
      <c r="V7" s="3598">
        <v>534.375</v>
      </c>
      <c r="W7" s="3597">
        <v>653.125</v>
      </c>
      <c r="X7">
        <v>788.125</v>
      </c>
      <c r="Y7" s="3204">
        <v>259.09090909090907</v>
      </c>
      <c r="Z7" s="3202">
        <v>316.66666666666663</v>
      </c>
      <c r="AA7" s="3203">
        <v>374.24242424242425</v>
      </c>
      <c r="AB7">
        <v>259.09090909090907</v>
      </c>
      <c r="AC7" s="3597">
        <v>316.66666666666663</v>
      </c>
      <c r="AD7" s="3599">
        <v>374.24242424242425</v>
      </c>
      <c r="AE7" s="3207"/>
      <c r="AF7" s="3204">
        <v>333.33333333333337</v>
      </c>
      <c r="AG7" s="3202">
        <v>393.93939393939394</v>
      </c>
      <c r="AH7" s="3203">
        <v>454.54545454545456</v>
      </c>
      <c r="AI7" s="3598">
        <v>345.45454545454544</v>
      </c>
      <c r="AJ7" s="3597">
        <v>417.42424242424238</v>
      </c>
      <c r="AK7">
        <v>489.39393939393938</v>
      </c>
      <c r="AL7" s="3208">
        <v>197.91666666666669</v>
      </c>
      <c r="AM7" s="3202">
        <v>253.33333333333331</v>
      </c>
      <c r="AN7" s="3209">
        <v>316.66666666666663</v>
      </c>
      <c r="AO7" s="3598">
        <v>213.75000000000003</v>
      </c>
      <c r="AP7" s="3597">
        <v>249.375</v>
      </c>
      <c r="AQ7" s="3599">
        <v>285</v>
      </c>
      <c r="AR7" s="3205">
        <v>182.69230769230768</v>
      </c>
      <c r="AS7" s="3202">
        <v>210.09615384615384</v>
      </c>
      <c r="AT7" s="3203">
        <v>237.5</v>
      </c>
      <c r="AU7" s="3598">
        <v>135.71428571428572</v>
      </c>
      <c r="AV7" s="3597">
        <v>158.33333333333331</v>
      </c>
      <c r="AW7" s="3599">
        <v>180.95238095238096</v>
      </c>
      <c r="AX7" s="3204">
        <v>345.45454545454544</v>
      </c>
      <c r="AY7" s="3202">
        <v>431.81818181818181</v>
      </c>
      <c r="AZ7" s="3203">
        <v>518.18181818181813</v>
      </c>
      <c r="BA7" s="3205">
        <v>345.45454545454544</v>
      </c>
      <c r="BB7" s="3202">
        <v>431.81818181818181</v>
      </c>
      <c r="BC7" s="3203">
        <v>518.18181818181813</v>
      </c>
      <c r="BD7" s="3205">
        <v>271.42857142857144</v>
      </c>
      <c r="BE7" s="3202">
        <v>325.71428571428572</v>
      </c>
      <c r="BF7" s="3203">
        <v>380</v>
      </c>
      <c r="BG7" s="3205">
        <v>271.42857142857144</v>
      </c>
      <c r="BH7" s="3202">
        <v>325.71428571428572</v>
      </c>
      <c r="BI7" s="3203">
        <v>380</v>
      </c>
      <c r="BJ7" s="3209">
        <v>285</v>
      </c>
      <c r="BK7" s="3203">
        <v>348.33333333333331</v>
      </c>
      <c r="BL7" s="3203">
        <v>411.66666666666663</v>
      </c>
      <c r="BM7" s="3203">
        <v>296.875</v>
      </c>
      <c r="BN7" s="3203">
        <v>356.25</v>
      </c>
      <c r="BO7" s="3203">
        <v>415.625</v>
      </c>
      <c r="BP7" s="3206">
        <v>203.57142857142858</v>
      </c>
      <c r="BQ7" s="3206">
        <v>203.57142857142858</v>
      </c>
      <c r="BR7" s="3203">
        <v>190</v>
      </c>
      <c r="BS7" s="3203">
        <v>227.99999999999997</v>
      </c>
      <c r="BT7" s="3203">
        <v>266</v>
      </c>
      <c r="BU7" s="3203">
        <v>516.12903225806451</v>
      </c>
      <c r="BV7" s="3203">
        <v>582.25806451612902</v>
      </c>
      <c r="BW7" s="3203">
        <v>674.19354838709683</v>
      </c>
      <c r="BX7" s="3203">
        <v>339.28571428571428</v>
      </c>
      <c r="BY7" s="3203">
        <v>441.07142857142856</v>
      </c>
      <c r="BZ7" s="3203">
        <v>542.85714285714289</v>
      </c>
      <c r="CA7" s="3203">
        <v>304</v>
      </c>
      <c r="CB7" s="3203">
        <v>380</v>
      </c>
      <c r="CC7" s="3203">
        <v>455.99999999999994</v>
      </c>
      <c r="CD7" s="3203">
        <v>339.28571428571428</v>
      </c>
      <c r="CE7" s="3203">
        <v>441.07142857142856</v>
      </c>
      <c r="CF7" s="3203">
        <v>542.85714285714289</v>
      </c>
      <c r="CG7" s="3203">
        <v>551.61290322580646</v>
      </c>
      <c r="CH7" s="3203">
        <v>612.90322580645159</v>
      </c>
      <c r="CI7" s="3203">
        <v>674.19354838709683</v>
      </c>
      <c r="CJ7" s="3203">
        <v>339.28571428571428</v>
      </c>
      <c r="CK7" s="3203">
        <v>441.07142857142856</v>
      </c>
      <c r="CL7" s="3203">
        <v>542.85714285714289</v>
      </c>
      <c r="CM7" s="3203">
        <v>339.28571428571428</v>
      </c>
      <c r="CN7" s="3203">
        <v>441.07142857142856</v>
      </c>
      <c r="CO7" s="3203">
        <v>542.85714285714289</v>
      </c>
    </row>
    <row r="8" spans="2:93" ht="16.5" x14ac:dyDescent="0.2">
      <c r="B8" s="3189" t="s">
        <v>1388</v>
      </c>
      <c r="C8" s="3190"/>
      <c r="D8" s="3191" t="s">
        <v>1387</v>
      </c>
      <c r="E8" s="3192">
        <v>369.44444444444446</v>
      </c>
      <c r="F8" s="3193">
        <v>395.83333333333337</v>
      </c>
      <c r="G8" s="3194">
        <v>580.55555555555554</v>
      </c>
      <c r="H8" s="3703">
        <v>167.14864864864865</v>
      </c>
      <c r="I8" s="3704">
        <v>179.08783783783784</v>
      </c>
      <c r="J8" s="3704">
        <v>179.08783783783784</v>
      </c>
      <c r="K8" s="3705">
        <v>262.66216216216219</v>
      </c>
      <c r="L8" s="3706">
        <v>179.08783783783781</v>
      </c>
      <c r="M8">
        <v>58.295454545454547</v>
      </c>
      <c r="N8">
        <v>72.869318181818187</v>
      </c>
      <c r="O8" s="3197">
        <v>116.11111111111111</v>
      </c>
      <c r="P8" s="3594">
        <v>300</v>
      </c>
      <c r="Q8" s="3595">
        <v>450</v>
      </c>
      <c r="R8" s="3596">
        <v>504.6875</v>
      </c>
      <c r="S8" s="3703">
        <v>534.375</v>
      </c>
      <c r="T8" s="3705">
        <v>623.4375</v>
      </c>
      <c r="U8">
        <v>712.5</v>
      </c>
      <c r="V8" s="3595">
        <v>534.375</v>
      </c>
      <c r="W8" s="3594">
        <v>653.125</v>
      </c>
      <c r="X8" s="3606">
        <v>788.125</v>
      </c>
      <c r="Y8" s="3195">
        <v>227.18571428571428</v>
      </c>
      <c r="Z8" s="3193">
        <v>277.67142857142858</v>
      </c>
      <c r="AA8" s="3194">
        <v>328.15714285714284</v>
      </c>
      <c r="AB8">
        <v>227.18571428571428</v>
      </c>
      <c r="AC8" s="3594">
        <v>277.67142857142858</v>
      </c>
      <c r="AD8" s="3596">
        <v>328.15714285714284</v>
      </c>
      <c r="AE8" s="3198"/>
      <c r="AF8" s="3195">
        <v>298.57142857142856</v>
      </c>
      <c r="AG8" s="3193">
        <v>352.85714285714283</v>
      </c>
      <c r="AH8" s="3194">
        <v>407.14285714285711</v>
      </c>
      <c r="AI8" s="3595">
        <v>319.20000000000005</v>
      </c>
      <c r="AJ8" s="3594">
        <v>385.70000000000005</v>
      </c>
      <c r="AK8">
        <v>452.20000000000005</v>
      </c>
      <c r="AL8" s="3199">
        <v>197.91666666666669</v>
      </c>
      <c r="AM8" s="3193">
        <v>253.33333333333331</v>
      </c>
      <c r="AN8" s="3200">
        <v>316.66666666666663</v>
      </c>
      <c r="AO8" s="3595">
        <v>209.47500000000002</v>
      </c>
      <c r="AP8" s="3594">
        <v>244.38749999999999</v>
      </c>
      <c r="AQ8" s="3596">
        <v>279.3</v>
      </c>
      <c r="AR8" s="3196">
        <v>172.40740740740739</v>
      </c>
      <c r="AS8" s="3193">
        <v>198.26851851851853</v>
      </c>
      <c r="AT8" s="3194">
        <v>224.12962962962962</v>
      </c>
      <c r="AU8" s="3595">
        <v>128.90769230769232</v>
      </c>
      <c r="AV8" s="3594">
        <v>150.3923076923077</v>
      </c>
      <c r="AW8" s="3596">
        <v>171.87692307692308</v>
      </c>
      <c r="AX8" s="3195">
        <v>319.20000000000005</v>
      </c>
      <c r="AY8" s="3193">
        <v>399</v>
      </c>
      <c r="AZ8" s="3194">
        <v>478.8</v>
      </c>
      <c r="BA8" s="3196">
        <v>319.20000000000005</v>
      </c>
      <c r="BB8" s="3193">
        <v>399</v>
      </c>
      <c r="BC8" s="3194">
        <v>478.8</v>
      </c>
      <c r="BD8" s="3196">
        <v>251.62162162162161</v>
      </c>
      <c r="BE8" s="3193">
        <v>301.94594594594594</v>
      </c>
      <c r="BF8" s="3194">
        <v>352.27027027027032</v>
      </c>
      <c r="BG8" s="3196">
        <v>251.62162162162161</v>
      </c>
      <c r="BH8" s="3193">
        <v>301.94594594594594</v>
      </c>
      <c r="BI8" s="3194">
        <v>352.27027027027032</v>
      </c>
      <c r="BJ8" s="3200">
        <v>248.484375</v>
      </c>
      <c r="BK8" s="3194">
        <v>303.703125</v>
      </c>
      <c r="BL8" s="3194">
        <v>358.921875</v>
      </c>
      <c r="BM8" s="3194">
        <v>259.85294117647055</v>
      </c>
      <c r="BN8" s="3194">
        <v>311.8235294117647</v>
      </c>
      <c r="BO8" s="3194">
        <v>363.79411764705878</v>
      </c>
      <c r="BP8" s="3197">
        <v>179.08783783783784</v>
      </c>
      <c r="BQ8" s="3197">
        <v>179.08783783783784</v>
      </c>
      <c r="BR8" s="3194">
        <v>157.76785714285714</v>
      </c>
      <c r="BS8" s="3194">
        <v>189.32142857142858</v>
      </c>
      <c r="BT8" s="3194">
        <v>220.87499999999997</v>
      </c>
      <c r="BU8" s="3194">
        <v>450.90909090909099</v>
      </c>
      <c r="BV8" s="3194">
        <v>508.68181818181819</v>
      </c>
      <c r="BW8" s="3194">
        <v>589</v>
      </c>
      <c r="BX8" s="3194">
        <v>294.5</v>
      </c>
      <c r="BY8" s="3194">
        <v>382.85</v>
      </c>
      <c r="BZ8" s="3194">
        <v>471.20000000000005</v>
      </c>
      <c r="CA8" s="3194">
        <v>261.77777777777777</v>
      </c>
      <c r="CB8" s="3194">
        <v>327.22222222222223</v>
      </c>
      <c r="CC8" s="3194">
        <v>392.66666666666663</v>
      </c>
      <c r="CD8" s="3194">
        <v>294.5</v>
      </c>
      <c r="CE8" s="3194">
        <v>382.85</v>
      </c>
      <c r="CF8" s="3194">
        <v>471.20000000000005</v>
      </c>
      <c r="CG8" s="3194">
        <v>481.90909090909093</v>
      </c>
      <c r="CH8" s="3194">
        <v>535.4545454545455</v>
      </c>
      <c r="CI8" s="3194">
        <v>589</v>
      </c>
      <c r="CJ8" s="3194">
        <v>294.5</v>
      </c>
      <c r="CK8" s="3194">
        <v>382.85</v>
      </c>
      <c r="CL8" s="3194">
        <v>471.20000000000005</v>
      </c>
      <c r="CM8" s="3194">
        <v>294.5</v>
      </c>
      <c r="CN8" s="3194">
        <v>382.85</v>
      </c>
      <c r="CO8" s="3194">
        <v>471.20000000000005</v>
      </c>
    </row>
    <row r="9" spans="2:93" ht="16.5" x14ac:dyDescent="0.2">
      <c r="B9" s="3189" t="s">
        <v>1389</v>
      </c>
      <c r="C9" s="3190"/>
      <c r="D9" s="3191" t="s">
        <v>1384</v>
      </c>
      <c r="E9" s="3192">
        <v>66.5</v>
      </c>
      <c r="F9" s="3193">
        <v>71.25</v>
      </c>
      <c r="G9" s="3194">
        <v>104.5</v>
      </c>
      <c r="H9" s="3703">
        <v>61.844999999999999</v>
      </c>
      <c r="I9" s="3704">
        <v>66.262500000000003</v>
      </c>
      <c r="J9" s="3704">
        <v>66.262500000000003</v>
      </c>
      <c r="K9" s="3705">
        <v>97.185000000000002</v>
      </c>
      <c r="L9" s="3706">
        <v>66.262500000000003</v>
      </c>
      <c r="M9">
        <v>51.3</v>
      </c>
      <c r="N9">
        <v>64.125</v>
      </c>
      <c r="O9" s="3197">
        <v>104.5</v>
      </c>
      <c r="P9" s="3594">
        <v>48</v>
      </c>
      <c r="Q9" s="3595">
        <v>72</v>
      </c>
      <c r="R9" s="3596">
        <v>80.75</v>
      </c>
      <c r="S9" s="3703">
        <v>85.5</v>
      </c>
      <c r="T9" s="3705">
        <v>99.75</v>
      </c>
      <c r="U9">
        <v>114</v>
      </c>
      <c r="V9" s="3595">
        <v>85.5</v>
      </c>
      <c r="W9" s="3594">
        <v>104.5</v>
      </c>
      <c r="X9" s="3606">
        <v>126.1</v>
      </c>
      <c r="Y9" s="3195">
        <v>79.515000000000001</v>
      </c>
      <c r="Z9" s="3193">
        <v>97.185000000000002</v>
      </c>
      <c r="AA9" s="3194">
        <v>114.855</v>
      </c>
      <c r="AB9">
        <v>79.515000000000001</v>
      </c>
      <c r="AC9" s="3594">
        <v>97.185000000000002</v>
      </c>
      <c r="AD9" s="3596">
        <v>114.855</v>
      </c>
      <c r="AE9" s="3198"/>
      <c r="AF9" s="3195">
        <v>104.5</v>
      </c>
      <c r="AG9" s="3193">
        <v>123.5</v>
      </c>
      <c r="AH9" s="3194">
        <v>142.5</v>
      </c>
      <c r="AI9" s="3595">
        <v>111.72</v>
      </c>
      <c r="AJ9" s="3594">
        <v>134.995</v>
      </c>
      <c r="AK9">
        <v>158.27000000000001</v>
      </c>
      <c r="AL9" s="3199">
        <v>23.75</v>
      </c>
      <c r="AM9" s="3193">
        <v>30.4</v>
      </c>
      <c r="AN9" s="3200">
        <v>38</v>
      </c>
      <c r="AO9" s="3595">
        <v>83.79</v>
      </c>
      <c r="AP9" s="3594">
        <v>97.754999999999995</v>
      </c>
      <c r="AQ9" s="3596">
        <v>111.72</v>
      </c>
      <c r="AR9" s="3196">
        <v>93.1</v>
      </c>
      <c r="AS9" s="3193">
        <v>107.065</v>
      </c>
      <c r="AT9" s="3194">
        <v>121.03</v>
      </c>
      <c r="AU9" s="3595">
        <v>83.79</v>
      </c>
      <c r="AV9" s="3594">
        <v>97.754999999999995</v>
      </c>
      <c r="AW9" s="3596">
        <v>111.72</v>
      </c>
      <c r="AX9" s="3195">
        <v>111.72</v>
      </c>
      <c r="AY9" s="3193">
        <v>139.65</v>
      </c>
      <c r="AZ9" s="3194">
        <v>167.58</v>
      </c>
      <c r="BA9" s="3196">
        <v>111.72</v>
      </c>
      <c r="BB9" s="3193">
        <v>139.65</v>
      </c>
      <c r="BC9" s="3194">
        <v>167.58</v>
      </c>
      <c r="BD9" s="3196">
        <v>93.1</v>
      </c>
      <c r="BE9" s="3193">
        <v>111.72</v>
      </c>
      <c r="BF9" s="3194">
        <v>130.34</v>
      </c>
      <c r="BG9" s="3196">
        <v>93.1</v>
      </c>
      <c r="BH9" s="3193">
        <v>111.72</v>
      </c>
      <c r="BI9" s="3194">
        <v>130.34</v>
      </c>
      <c r="BJ9" s="3200">
        <v>79.515000000000001</v>
      </c>
      <c r="BK9" s="3194">
        <v>97.185000000000002</v>
      </c>
      <c r="BL9" s="3194">
        <v>114.855</v>
      </c>
      <c r="BM9" s="3194">
        <v>88.35</v>
      </c>
      <c r="BN9" s="3194">
        <v>106.02</v>
      </c>
      <c r="BO9" s="3194">
        <v>123.69</v>
      </c>
      <c r="BP9" s="3197">
        <v>66.262500000000003</v>
      </c>
      <c r="BQ9" s="3197">
        <v>66.262500000000003</v>
      </c>
      <c r="BR9" s="3194">
        <v>44.174999999999997</v>
      </c>
      <c r="BS9" s="3194">
        <v>53.01</v>
      </c>
      <c r="BT9" s="3194">
        <v>61.844999999999999</v>
      </c>
      <c r="BU9" s="3194">
        <v>148.80000000000001</v>
      </c>
      <c r="BV9" s="3194">
        <v>167.86500000000001</v>
      </c>
      <c r="BW9" s="3194">
        <v>194.37</v>
      </c>
      <c r="BX9" s="3194">
        <v>88.35</v>
      </c>
      <c r="BY9" s="3194">
        <v>114.855</v>
      </c>
      <c r="BZ9" s="3194">
        <v>141.36000000000001</v>
      </c>
      <c r="CA9" s="3194">
        <v>70.680000000000007</v>
      </c>
      <c r="CB9" s="3194">
        <v>88.35</v>
      </c>
      <c r="CC9" s="3194">
        <v>106.02</v>
      </c>
      <c r="CD9" s="3194">
        <v>88.35</v>
      </c>
      <c r="CE9" s="3194">
        <v>114.855</v>
      </c>
      <c r="CF9" s="3194">
        <v>141.36000000000001</v>
      </c>
      <c r="CG9" s="3194">
        <v>159.03</v>
      </c>
      <c r="CH9" s="3194">
        <v>176.7</v>
      </c>
      <c r="CI9" s="3194">
        <v>194.37</v>
      </c>
      <c r="CJ9" s="3194">
        <v>88.35</v>
      </c>
      <c r="CK9" s="3194">
        <v>114.855</v>
      </c>
      <c r="CL9" s="3194">
        <v>141.36000000000001</v>
      </c>
      <c r="CM9" s="3194">
        <v>88.35</v>
      </c>
      <c r="CN9" s="3194">
        <v>114.855</v>
      </c>
      <c r="CO9" s="3194">
        <v>141.36000000000001</v>
      </c>
    </row>
    <row r="10" spans="2:93" ht="16.5" x14ac:dyDescent="0.2">
      <c r="B10" s="3189" t="s">
        <v>1390</v>
      </c>
      <c r="C10" s="3190"/>
      <c r="D10" s="3212"/>
      <c r="E10" s="3201"/>
      <c r="F10" s="3202"/>
      <c r="G10" s="3203"/>
      <c r="H10" s="3707"/>
      <c r="I10" s="3708"/>
      <c r="J10" s="3708"/>
      <c r="K10" s="3709"/>
      <c r="L10" s="3710"/>
      <c r="O10" s="3206"/>
      <c r="P10" s="3597"/>
      <c r="Q10" s="3598"/>
      <c r="R10" s="3599"/>
      <c r="S10" s="3707"/>
      <c r="T10" s="3709"/>
      <c r="U10"/>
      <c r="V10" s="3598"/>
      <c r="W10" s="3597"/>
      <c r="X10"/>
      <c r="Y10" s="3204"/>
      <c r="Z10" s="3202"/>
      <c r="AA10" s="3203"/>
      <c r="AB10"/>
      <c r="AC10" s="3597"/>
      <c r="AD10" s="3599"/>
      <c r="AE10" s="3207"/>
      <c r="AF10" s="3204"/>
      <c r="AG10" s="3202"/>
      <c r="AH10" s="3203"/>
      <c r="AI10" s="3598"/>
      <c r="AJ10" s="3597"/>
      <c r="AK10"/>
      <c r="AL10" s="3208"/>
      <c r="AM10" s="3202"/>
      <c r="AN10" s="3209"/>
      <c r="AO10" s="3598"/>
      <c r="AP10" s="3597"/>
      <c r="AQ10" s="3599"/>
      <c r="AR10" s="3205"/>
      <c r="AS10" s="3202"/>
      <c r="AT10" s="3203"/>
      <c r="AU10" s="3598"/>
      <c r="AV10" s="3597"/>
      <c r="AW10" s="3599"/>
      <c r="AX10" s="3204"/>
      <c r="AY10" s="3202"/>
      <c r="AZ10" s="3203"/>
      <c r="BA10" s="3205"/>
      <c r="BB10" s="3202"/>
      <c r="BC10" s="3203"/>
      <c r="BD10" s="3205"/>
      <c r="BE10" s="3202"/>
      <c r="BF10" s="3203"/>
      <c r="BG10" s="3205"/>
      <c r="BH10" s="3202"/>
      <c r="BI10" s="3203"/>
      <c r="BJ10" s="3209"/>
      <c r="BK10" s="3203"/>
      <c r="BL10" s="3203"/>
      <c r="BM10" s="3203"/>
      <c r="BN10" s="3203"/>
      <c r="BO10" s="3203"/>
      <c r="BP10" s="3206"/>
      <c r="BQ10" s="3206"/>
      <c r="BR10" s="3203"/>
      <c r="BS10" s="3203"/>
      <c r="BT10" s="3203"/>
      <c r="BU10" s="3203"/>
      <c r="BV10" s="3203"/>
      <c r="BW10" s="3203"/>
      <c r="BX10" s="3203"/>
      <c r="BY10" s="3203"/>
      <c r="BZ10" s="3203"/>
      <c r="CA10" s="3203"/>
      <c r="CB10" s="3203"/>
      <c r="CC10" s="3203"/>
      <c r="CD10" s="3203"/>
      <c r="CE10" s="3203"/>
      <c r="CF10" s="3203"/>
      <c r="CG10" s="3203"/>
      <c r="CH10" s="3203"/>
      <c r="CI10" s="3203"/>
      <c r="CJ10" s="3203"/>
      <c r="CK10" s="3203"/>
      <c r="CL10" s="3203"/>
      <c r="CM10" s="3203"/>
      <c r="CN10" s="3203"/>
      <c r="CO10" s="3203"/>
    </row>
    <row r="11" spans="2:93" ht="16.5" x14ac:dyDescent="0.2">
      <c r="B11" s="3213" t="s">
        <v>1391</v>
      </c>
      <c r="C11" s="3214"/>
      <c r="D11" s="3215"/>
      <c r="E11" s="3216">
        <v>4009.95</v>
      </c>
      <c r="F11" s="3217">
        <v>4367.625</v>
      </c>
      <c r="G11" s="3218">
        <v>6468.5499999999993</v>
      </c>
      <c r="H11" s="3711">
        <v>3494.2424999999998</v>
      </c>
      <c r="I11" s="3712">
        <v>3863.1037500000002</v>
      </c>
      <c r="J11" s="3712">
        <v>3863.1037500000002</v>
      </c>
      <c r="K11" s="3713">
        <v>5850.5370000000003</v>
      </c>
      <c r="L11" s="3714">
        <v>3876.3562499999998</v>
      </c>
      <c r="M11">
        <v>2565</v>
      </c>
      <c r="N11">
        <v>3542.90625</v>
      </c>
      <c r="O11" s="3221">
        <v>6813.4</v>
      </c>
      <c r="P11" s="3600">
        <v>2601.6</v>
      </c>
      <c r="Q11" s="3601">
        <v>4456.8</v>
      </c>
      <c r="R11" s="3602">
        <v>4998.4250000000002</v>
      </c>
      <c r="S11" s="3711">
        <v>5215.5</v>
      </c>
      <c r="T11" s="3713">
        <v>6084.7499999999991</v>
      </c>
      <c r="U11">
        <v>6954</v>
      </c>
      <c r="V11" s="3601">
        <v>5386.5</v>
      </c>
      <c r="W11" s="3600">
        <v>6583.5</v>
      </c>
      <c r="X11" s="3645">
        <v>7944.2999999999993</v>
      </c>
      <c r="Y11" s="3219">
        <v>4850.415</v>
      </c>
      <c r="Z11" s="3217">
        <v>5928.2849999999999</v>
      </c>
      <c r="AA11" s="3218">
        <v>7006.1549999999997</v>
      </c>
      <c r="AB11">
        <v>4611.87</v>
      </c>
      <c r="AC11" s="3600">
        <v>5636.73</v>
      </c>
      <c r="AD11" s="3602">
        <v>6661.59</v>
      </c>
      <c r="AE11" s="3222"/>
      <c r="AF11" s="3219">
        <v>6688.0000000000009</v>
      </c>
      <c r="AG11" s="3217">
        <v>8027.5</v>
      </c>
      <c r="AH11" s="3218">
        <v>9262.5</v>
      </c>
      <c r="AI11" s="3601">
        <v>7261.7999999999993</v>
      </c>
      <c r="AJ11" s="3600">
        <v>8909.67</v>
      </c>
      <c r="AK11">
        <v>10445.820000000002</v>
      </c>
      <c r="AL11" s="3223">
        <v>1496.25</v>
      </c>
      <c r="AM11" s="3217">
        <v>1915.1999999999998</v>
      </c>
      <c r="AN11" s="3224">
        <v>2394</v>
      </c>
      <c r="AO11" s="3601">
        <v>4859.8200000000006</v>
      </c>
      <c r="AP11" s="3600">
        <v>5767.5450000000001</v>
      </c>
      <c r="AQ11" s="3602">
        <v>6591.4800000000005</v>
      </c>
      <c r="AR11" s="3220">
        <v>6889.4</v>
      </c>
      <c r="AS11" s="3217">
        <v>7922.81</v>
      </c>
      <c r="AT11" s="3218">
        <v>8956.2200000000012</v>
      </c>
      <c r="AU11" s="3601">
        <v>6786.9900000000007</v>
      </c>
      <c r="AV11" s="3600">
        <v>7918.1549999999988</v>
      </c>
      <c r="AW11" s="3602">
        <v>9049.32</v>
      </c>
      <c r="AX11" s="3219">
        <v>3575.04</v>
      </c>
      <c r="AY11" s="3217">
        <v>4468.8</v>
      </c>
      <c r="AZ11" s="3218">
        <v>5362.56</v>
      </c>
      <c r="BA11" s="3220">
        <v>3575.04</v>
      </c>
      <c r="BB11" s="3217">
        <v>4468.8</v>
      </c>
      <c r="BC11" s="3218">
        <v>5362.56</v>
      </c>
      <c r="BD11" s="3220">
        <v>2793</v>
      </c>
      <c r="BE11" s="3217">
        <v>3351.6</v>
      </c>
      <c r="BF11" s="3218">
        <v>3910.2000000000003</v>
      </c>
      <c r="BG11" s="3220">
        <v>2793</v>
      </c>
      <c r="BH11" s="3217">
        <v>3351.6</v>
      </c>
      <c r="BI11" s="3218">
        <v>3910.2000000000003</v>
      </c>
      <c r="BJ11" s="3224">
        <v>2305.9349999999999</v>
      </c>
      <c r="BK11" s="3218">
        <v>2818.3650000000002</v>
      </c>
      <c r="BL11" s="3218">
        <v>3330.7950000000001</v>
      </c>
      <c r="BM11" s="3218">
        <v>2562.1499999999996</v>
      </c>
      <c r="BN11" s="3218">
        <v>3074.58</v>
      </c>
      <c r="BO11" s="3218">
        <v>3587.0099999999998</v>
      </c>
      <c r="BP11" s="3221">
        <v>1921.6125</v>
      </c>
      <c r="BQ11" s="3221">
        <v>1921.6125</v>
      </c>
      <c r="BR11" s="3218">
        <v>1281.0749999999998</v>
      </c>
      <c r="BS11" s="3218">
        <v>1537.29</v>
      </c>
      <c r="BT11" s="3218">
        <v>1793.5049999999999</v>
      </c>
      <c r="BU11" s="3218">
        <v>4464</v>
      </c>
      <c r="BV11" s="3218">
        <v>5035.9500000000007</v>
      </c>
      <c r="BW11" s="3218">
        <v>5831.1</v>
      </c>
      <c r="BX11" s="3218">
        <v>2473.7999999999997</v>
      </c>
      <c r="BY11" s="3218">
        <v>3215.94</v>
      </c>
      <c r="BZ11" s="3218">
        <v>3958.0800000000004</v>
      </c>
      <c r="CA11" s="3218">
        <v>1908.3600000000001</v>
      </c>
      <c r="CB11" s="3218">
        <v>2385.4499999999998</v>
      </c>
      <c r="CC11" s="3218">
        <v>2862.54</v>
      </c>
      <c r="CD11" s="3218">
        <v>2473.7999999999997</v>
      </c>
      <c r="CE11" s="3218">
        <v>3215.94</v>
      </c>
      <c r="CF11" s="3218">
        <v>3958.0800000000004</v>
      </c>
      <c r="CG11" s="3218">
        <v>4611.87</v>
      </c>
      <c r="CH11" s="3218">
        <v>5124.2999999999993</v>
      </c>
      <c r="CI11" s="3218">
        <v>5636.7300000000005</v>
      </c>
      <c r="CJ11" s="3218">
        <v>2473.7999999999997</v>
      </c>
      <c r="CK11" s="3218">
        <v>3215.94</v>
      </c>
      <c r="CL11" s="3218">
        <v>3958.0800000000004</v>
      </c>
      <c r="CM11" s="3218">
        <v>1973.15</v>
      </c>
      <c r="CN11" s="3218">
        <v>2565.0950000000003</v>
      </c>
      <c r="CO11" s="3218">
        <v>3157.0400000000004</v>
      </c>
    </row>
    <row r="12" spans="2:93" ht="17.25" thickBot="1" x14ac:dyDescent="0.25">
      <c r="B12" s="3225" t="s">
        <v>1392</v>
      </c>
      <c r="C12" s="3226"/>
      <c r="D12" s="3227"/>
      <c r="E12" s="3228">
        <v>6683.25</v>
      </c>
      <c r="F12" s="3229">
        <v>7279.375</v>
      </c>
      <c r="G12" s="3230">
        <v>10780.916666666666</v>
      </c>
      <c r="H12" s="3715">
        <v>5823.7375000000011</v>
      </c>
      <c r="I12" s="3716">
        <v>6438.5062500000004</v>
      </c>
      <c r="J12" s="3716">
        <v>6438.5062500000004</v>
      </c>
      <c r="K12" s="3717">
        <v>9750.8950000000004</v>
      </c>
      <c r="L12" s="3718">
        <v>6460.59375</v>
      </c>
      <c r="M12">
        <v>4275.0000000000009</v>
      </c>
      <c r="N12">
        <v>5904.84375</v>
      </c>
      <c r="O12" s="3233">
        <v>11355.666666666666</v>
      </c>
      <c r="P12" s="3603">
        <v>4336</v>
      </c>
      <c r="Q12" s="3604">
        <v>7428</v>
      </c>
      <c r="R12" s="3605">
        <v>8330.7083333333321</v>
      </c>
      <c r="S12" s="3715">
        <v>8692.5</v>
      </c>
      <c r="T12" s="3717">
        <v>10141.249999999998</v>
      </c>
      <c r="U12">
        <v>11590</v>
      </c>
      <c r="V12" s="3604">
        <v>8977.5</v>
      </c>
      <c r="W12" s="3603">
        <v>10972.5</v>
      </c>
      <c r="X12">
        <v>13240.5</v>
      </c>
      <c r="Y12" s="3231">
        <v>8084.0249999999996</v>
      </c>
      <c r="Z12" s="3229">
        <v>9880.4750000000004</v>
      </c>
      <c r="AA12" s="3230">
        <v>11676.924999999999</v>
      </c>
      <c r="AB12">
        <v>7686.45</v>
      </c>
      <c r="AC12" s="3603">
        <v>9394.5499999999993</v>
      </c>
      <c r="AD12" s="3605">
        <v>11102.649999999998</v>
      </c>
      <c r="AE12" s="3234"/>
      <c r="AF12" s="3231">
        <v>11146.666666666668</v>
      </c>
      <c r="AG12" s="3229">
        <v>13379.166666666668</v>
      </c>
      <c r="AH12" s="3230">
        <v>15437.5</v>
      </c>
      <c r="AI12" s="3604">
        <v>12103</v>
      </c>
      <c r="AJ12" s="3603">
        <v>14849.45</v>
      </c>
      <c r="AK12">
        <v>17409.7</v>
      </c>
      <c r="AL12" s="3235">
        <v>2493.75</v>
      </c>
      <c r="AM12" s="3229">
        <v>3192</v>
      </c>
      <c r="AN12" s="3236">
        <v>3990</v>
      </c>
      <c r="AO12" s="3604">
        <v>8099.7000000000007</v>
      </c>
      <c r="AP12" s="3603">
        <v>9612.5750000000007</v>
      </c>
      <c r="AQ12" s="3605">
        <v>10985.800000000001</v>
      </c>
      <c r="AR12" s="3232">
        <v>11482.333333333334</v>
      </c>
      <c r="AS12" s="3229">
        <v>13204.683333333334</v>
      </c>
      <c r="AT12" s="3230">
        <v>14927.033333333333</v>
      </c>
      <c r="AU12" s="3604">
        <v>11311.650000000001</v>
      </c>
      <c r="AV12" s="3603">
        <v>13196.924999999999</v>
      </c>
      <c r="AW12" s="3605">
        <v>15082.2</v>
      </c>
      <c r="AX12" s="3231">
        <v>128.70143999999999</v>
      </c>
      <c r="AY12" s="3229">
        <v>160.8768</v>
      </c>
      <c r="AZ12" s="3230">
        <v>193.05215999999999</v>
      </c>
      <c r="BA12" s="3232">
        <v>128.70143999999999</v>
      </c>
      <c r="BB12" s="3229">
        <v>160.8768</v>
      </c>
      <c r="BC12" s="3230">
        <v>193.05215999999999</v>
      </c>
      <c r="BD12" s="3232">
        <v>100.54799999999997</v>
      </c>
      <c r="BE12" s="3229">
        <v>120.65759999999999</v>
      </c>
      <c r="BF12" s="3230">
        <v>140.76719999999997</v>
      </c>
      <c r="BG12" s="3232">
        <v>100.54799999999997</v>
      </c>
      <c r="BH12" s="3229">
        <v>120.65759999999999</v>
      </c>
      <c r="BI12" s="3230">
        <v>140.76719999999997</v>
      </c>
      <c r="BJ12" s="3236">
        <v>83.013659999999987</v>
      </c>
      <c r="BK12" s="3230">
        <v>101.46113999999999</v>
      </c>
      <c r="BL12" s="3230">
        <v>119.90861999999998</v>
      </c>
      <c r="BM12" s="3230">
        <v>92.23739999999998</v>
      </c>
      <c r="BN12" s="3230">
        <v>110.68487999999998</v>
      </c>
      <c r="BO12" s="3230">
        <v>129.13235999999998</v>
      </c>
      <c r="BP12" s="3233">
        <v>69.178049999999985</v>
      </c>
      <c r="BQ12" s="3233">
        <v>69.178049999999985</v>
      </c>
      <c r="BR12" s="3230">
        <v>46.11869999999999</v>
      </c>
      <c r="BS12" s="3230">
        <v>55.342439999999989</v>
      </c>
      <c r="BT12" s="3230">
        <v>64.566179999999989</v>
      </c>
      <c r="BU12" s="3230">
        <v>160.70399999999998</v>
      </c>
      <c r="BV12" s="3230">
        <v>181.29419999999999</v>
      </c>
      <c r="BW12" s="3230">
        <v>209.91959999999997</v>
      </c>
      <c r="BX12" s="3230">
        <v>89.056799999999996</v>
      </c>
      <c r="BY12" s="3230">
        <v>115.77384000000001</v>
      </c>
      <c r="BZ12" s="3230">
        <v>142.49088</v>
      </c>
      <c r="CA12" s="3230">
        <v>68.700960000000009</v>
      </c>
      <c r="CB12" s="3230">
        <v>85.876199999999997</v>
      </c>
      <c r="CC12" s="3230">
        <v>103.05144</v>
      </c>
      <c r="CD12" s="3230">
        <v>89.056799999999996</v>
      </c>
      <c r="CE12" s="3230">
        <v>115.77384000000001</v>
      </c>
      <c r="CF12" s="3230">
        <v>142.49088</v>
      </c>
      <c r="CG12" s="3230">
        <v>166.02731999999997</v>
      </c>
      <c r="CH12" s="3230">
        <v>184.47479999999996</v>
      </c>
      <c r="CI12" s="3230">
        <v>202.92227999999997</v>
      </c>
      <c r="CJ12" s="3230">
        <v>89.056799999999996</v>
      </c>
      <c r="CK12" s="3230">
        <v>115.77384000000001</v>
      </c>
      <c r="CL12" s="3230">
        <v>142.49088</v>
      </c>
      <c r="CM12" s="3230">
        <v>71.0334</v>
      </c>
      <c r="CN12" s="3230">
        <v>92.343420000000009</v>
      </c>
      <c r="CO12" s="3230">
        <v>113.65344000000002</v>
      </c>
    </row>
    <row r="13" spans="2:93" ht="16.5" hidden="1" x14ac:dyDescent="0.2">
      <c r="B13" s="3237" t="s">
        <v>1393</v>
      </c>
      <c r="C13" s="3214"/>
      <c r="D13" s="3215" t="s">
        <v>1058</v>
      </c>
      <c r="E13" s="3192" t="e">
        <v>#REF!</v>
      </c>
      <c r="F13" s="3193" t="e">
        <v>#REF!</v>
      </c>
      <c r="G13" s="3194" t="e">
        <v>#REF!</v>
      </c>
      <c r="H13" s="3703" t="e">
        <v>#REF!</v>
      </c>
      <c r="I13" s="3704" t="e">
        <v>#REF!</v>
      </c>
      <c r="J13" s="3704" t="e">
        <v>#REF!</v>
      </c>
      <c r="K13" s="3705" t="e">
        <v>#REF!</v>
      </c>
      <c r="L13" s="3706" t="e">
        <v>#REF!</v>
      </c>
      <c r="M13" t="e">
        <v>#REF!</v>
      </c>
      <c r="N13" t="e">
        <v>#REF!</v>
      </c>
      <c r="O13" s="3197" t="e">
        <v>#REF!</v>
      </c>
      <c r="P13" s="3594" t="e">
        <v>#REF!</v>
      </c>
      <c r="Q13" s="3595" t="e">
        <v>#REF!</v>
      </c>
      <c r="R13" s="3596" t="e">
        <v>#REF!</v>
      </c>
      <c r="S13" s="3703">
        <v>360</v>
      </c>
      <c r="T13" s="3705">
        <v>330</v>
      </c>
      <c r="U13">
        <v>313</v>
      </c>
      <c r="V13" s="3595">
        <v>360</v>
      </c>
      <c r="W13" s="3594">
        <v>330</v>
      </c>
      <c r="X13" s="3606">
        <v>313</v>
      </c>
      <c r="Y13" s="3195">
        <v>360</v>
      </c>
      <c r="Z13" s="3193">
        <v>330</v>
      </c>
      <c r="AA13" s="3194">
        <v>313</v>
      </c>
      <c r="AB13">
        <v>360</v>
      </c>
      <c r="AC13" s="3594">
        <v>330</v>
      </c>
      <c r="AD13" s="3596">
        <v>313</v>
      </c>
      <c r="AE13" s="3198"/>
      <c r="AF13" s="3195">
        <v>340</v>
      </c>
      <c r="AG13" s="3193">
        <v>340</v>
      </c>
      <c r="AH13" s="3194">
        <v>340</v>
      </c>
      <c r="AI13" s="3595">
        <v>270</v>
      </c>
      <c r="AJ13" s="3594">
        <v>270</v>
      </c>
      <c r="AK13">
        <v>270</v>
      </c>
      <c r="AL13" s="3199">
        <v>0</v>
      </c>
      <c r="AM13" s="3193">
        <v>0</v>
      </c>
      <c r="AN13" s="3200">
        <v>0</v>
      </c>
      <c r="AO13" s="3595">
        <v>270</v>
      </c>
      <c r="AP13" s="3594">
        <v>270</v>
      </c>
      <c r="AQ13" s="3596">
        <v>270</v>
      </c>
      <c r="AR13" s="3196">
        <v>270</v>
      </c>
      <c r="AS13" s="3193">
        <v>270</v>
      </c>
      <c r="AT13" s="3194">
        <v>270</v>
      </c>
      <c r="AU13" s="3595">
        <v>270</v>
      </c>
      <c r="AV13" s="3594">
        <v>270</v>
      </c>
      <c r="AW13" s="3596">
        <v>270</v>
      </c>
      <c r="AX13" s="3195">
        <v>270</v>
      </c>
      <c r="AY13" s="3193">
        <v>270</v>
      </c>
      <c r="AZ13" s="3194">
        <v>270</v>
      </c>
      <c r="BA13" s="3196">
        <v>270</v>
      </c>
      <c r="BB13" s="3193">
        <v>270</v>
      </c>
      <c r="BC13" s="3194">
        <v>270</v>
      </c>
      <c r="BD13" s="3196">
        <v>270</v>
      </c>
      <c r="BE13" s="3193">
        <v>270</v>
      </c>
      <c r="BF13" s="3194">
        <v>270</v>
      </c>
      <c r="BG13" s="3196">
        <v>270</v>
      </c>
      <c r="BH13" s="3193">
        <v>270</v>
      </c>
      <c r="BI13" s="3194">
        <v>270</v>
      </c>
      <c r="BJ13" s="3200">
        <v>360</v>
      </c>
      <c r="BK13" s="3194">
        <v>330</v>
      </c>
      <c r="BL13" s="3194">
        <v>313</v>
      </c>
      <c r="BM13" s="3194">
        <v>360</v>
      </c>
      <c r="BN13" s="3194">
        <v>330</v>
      </c>
      <c r="BO13" s="3194">
        <v>313</v>
      </c>
      <c r="BP13" s="3197" t="e">
        <v>#REF!</v>
      </c>
      <c r="BQ13" s="3197" t="e">
        <v>#REF!</v>
      </c>
      <c r="BR13" s="3194">
        <v>0</v>
      </c>
      <c r="BS13" s="3194">
        <v>0</v>
      </c>
      <c r="BT13" s="3194">
        <v>0</v>
      </c>
      <c r="BU13" s="3194">
        <v>270</v>
      </c>
      <c r="BV13" s="3194">
        <v>270</v>
      </c>
      <c r="BW13" s="3194">
        <v>270</v>
      </c>
      <c r="BX13" s="3194">
        <v>270</v>
      </c>
      <c r="BY13" s="3194">
        <v>270</v>
      </c>
      <c r="BZ13" s="3194">
        <v>270</v>
      </c>
      <c r="CA13" s="3194">
        <v>270</v>
      </c>
      <c r="CB13" s="3194">
        <v>270</v>
      </c>
      <c r="CC13" s="3194">
        <v>270</v>
      </c>
      <c r="CD13" s="3194">
        <v>270</v>
      </c>
      <c r="CE13" s="3194">
        <v>270</v>
      </c>
      <c r="CF13" s="3194">
        <v>270</v>
      </c>
      <c r="CG13" s="3194">
        <v>270</v>
      </c>
      <c r="CH13" s="3194">
        <v>270</v>
      </c>
      <c r="CI13" s="3194">
        <v>270</v>
      </c>
      <c r="CJ13" s="3194">
        <v>270</v>
      </c>
      <c r="CK13" s="3194">
        <v>270</v>
      </c>
      <c r="CL13" s="3194">
        <v>270</v>
      </c>
      <c r="CM13" s="3194">
        <v>270</v>
      </c>
      <c r="CN13" s="3194">
        <v>270</v>
      </c>
      <c r="CO13" s="3194">
        <v>270</v>
      </c>
    </row>
    <row r="14" spans="2:93" ht="17.25" thickBot="1" x14ac:dyDescent="0.25">
      <c r="B14" s="3238"/>
      <c r="C14" s="3239"/>
      <c r="D14" s="3240"/>
      <c r="E14" s="3241"/>
      <c r="F14" s="3241"/>
      <c r="G14" s="3242"/>
      <c r="H14" s="3703"/>
      <c r="I14" s="3706"/>
      <c r="J14" s="3706"/>
      <c r="K14" s="3704"/>
      <c r="L14" s="3706"/>
      <c r="O14" s="3241"/>
      <c r="P14" s="3595"/>
      <c r="Q14" s="3606"/>
      <c r="R14" s="3607"/>
      <c r="S14"/>
      <c r="T14" s="3706"/>
      <c r="U14" s="3706"/>
      <c r="V14" s="3606"/>
      <c r="W14" s="3606"/>
      <c r="X14" s="3606"/>
      <c r="Y14" s="3243"/>
      <c r="Z14" s="3245"/>
      <c r="AA14" s="3246"/>
      <c r="AB14"/>
      <c r="AC14" s="3594"/>
      <c r="AD14" s="3596"/>
      <c r="AE14" s="3198"/>
      <c r="AF14" s="3244"/>
      <c r="AG14" s="3241"/>
      <c r="AH14" s="3242"/>
      <c r="AI14" s="3606"/>
      <c r="AJ14" s="3606"/>
      <c r="AK14" s="3606"/>
      <c r="AL14" s="3241"/>
      <c r="AM14" s="3241"/>
      <c r="AN14" s="3241"/>
      <c r="AO14" s="3606"/>
      <c r="AP14" s="3606"/>
      <c r="AQ14" s="3607"/>
      <c r="AR14" s="3241"/>
      <c r="AS14" s="3241"/>
      <c r="AT14" s="3242"/>
      <c r="AU14" s="3606"/>
      <c r="AV14" s="3606"/>
      <c r="AW14" s="3607"/>
      <c r="AX14" s="3244"/>
      <c r="AY14" s="3241"/>
      <c r="AZ14" s="3242"/>
      <c r="BA14" s="3241"/>
      <c r="BB14" s="3241"/>
      <c r="BC14" s="3242"/>
      <c r="BD14" s="3241"/>
      <c r="BE14" s="3241"/>
      <c r="BF14" s="3242"/>
      <c r="BG14" s="3241"/>
      <c r="BH14" s="3241"/>
      <c r="BI14" s="3242"/>
      <c r="BJ14" s="3242"/>
      <c r="BK14" s="3242"/>
      <c r="BL14" s="3242"/>
      <c r="BM14" s="3242"/>
      <c r="BN14" s="3242"/>
      <c r="BO14" s="3242"/>
      <c r="BP14" s="3198"/>
      <c r="BQ14" s="3198"/>
      <c r="BR14" s="3242"/>
      <c r="BS14" s="3242"/>
      <c r="BT14" s="3242"/>
      <c r="BU14" s="3242"/>
      <c r="BV14" s="3242"/>
      <c r="BW14" s="3242"/>
      <c r="BX14" s="3242"/>
      <c r="BY14" s="3242"/>
      <c r="BZ14" s="3242"/>
      <c r="CA14" s="3242"/>
      <c r="CB14" s="3242"/>
      <c r="CC14" s="3242"/>
      <c r="CD14" s="3242"/>
      <c r="CE14" s="3242"/>
      <c r="CF14" s="3242"/>
      <c r="CG14" s="3242"/>
      <c r="CH14" s="3242"/>
      <c r="CI14" s="3242"/>
      <c r="CJ14" s="3242"/>
      <c r="CK14" s="3242"/>
      <c r="CL14" s="3242"/>
      <c r="CM14" s="3242"/>
      <c r="CN14" s="3242"/>
      <c r="CO14" s="3242"/>
    </row>
    <row r="15" spans="2:93" ht="16.5" x14ac:dyDescent="0.2">
      <c r="B15" s="3247" t="s">
        <v>1394</v>
      </c>
      <c r="C15" s="3248"/>
      <c r="D15" s="3249" t="s">
        <v>1058</v>
      </c>
      <c r="E15" s="3250">
        <v>0</v>
      </c>
      <c r="F15" s="3251">
        <v>15</v>
      </c>
      <c r="G15" s="3252">
        <v>15</v>
      </c>
      <c r="H15" s="3719">
        <v>15</v>
      </c>
      <c r="I15" s="3720">
        <v>15</v>
      </c>
      <c r="J15" s="3720">
        <v>15</v>
      </c>
      <c r="K15" s="3721">
        <v>15</v>
      </c>
      <c r="L15" s="3722">
        <v>15</v>
      </c>
      <c r="M15">
        <v>0</v>
      </c>
      <c r="N15">
        <v>0</v>
      </c>
      <c r="O15" s="3255">
        <v>15</v>
      </c>
      <c r="P15" s="3608">
        <v>0</v>
      </c>
      <c r="Q15" s="3609">
        <v>18</v>
      </c>
      <c r="R15" s="3610">
        <v>18</v>
      </c>
      <c r="S15" s="3719">
        <v>58.5</v>
      </c>
      <c r="T15" s="3721">
        <v>58.5</v>
      </c>
      <c r="U15">
        <v>58.5</v>
      </c>
      <c r="V15" s="3609">
        <v>49.5</v>
      </c>
      <c r="W15" s="3608">
        <v>49.5</v>
      </c>
      <c r="X15">
        <v>49.5</v>
      </c>
      <c r="Y15" s="3253">
        <v>49.5</v>
      </c>
      <c r="Z15" s="3251">
        <v>49.5</v>
      </c>
      <c r="AA15" s="3252">
        <v>49.5</v>
      </c>
      <c r="AB15">
        <v>60</v>
      </c>
      <c r="AC15" s="3608">
        <v>60</v>
      </c>
      <c r="AD15" s="3610">
        <v>61.199999999999996</v>
      </c>
      <c r="AE15" s="3207"/>
      <c r="AF15" s="3253">
        <v>203</v>
      </c>
      <c r="AG15" s="3251">
        <v>203</v>
      </c>
      <c r="AH15" s="3252">
        <v>203</v>
      </c>
      <c r="AI15" s="3609">
        <v>159</v>
      </c>
      <c r="AJ15" s="3608">
        <v>159</v>
      </c>
      <c r="AK15">
        <v>159</v>
      </c>
      <c r="AL15" s="3256">
        <v>40</v>
      </c>
      <c r="AM15" s="3251">
        <v>40</v>
      </c>
      <c r="AN15" s="3257">
        <v>40</v>
      </c>
      <c r="AO15" s="3609">
        <v>90</v>
      </c>
      <c r="AP15" s="3608">
        <v>90</v>
      </c>
      <c r="AQ15" s="3610">
        <v>90</v>
      </c>
      <c r="AR15" s="3254">
        <v>159</v>
      </c>
      <c r="AS15" s="3251">
        <v>159</v>
      </c>
      <c r="AT15" s="3252">
        <v>159</v>
      </c>
      <c r="AU15" s="3609">
        <v>159</v>
      </c>
      <c r="AV15" s="3608">
        <v>159</v>
      </c>
      <c r="AW15" s="3610">
        <v>159</v>
      </c>
      <c r="AX15" s="3253">
        <v>159</v>
      </c>
      <c r="AY15" s="3251">
        <v>159</v>
      </c>
      <c r="AZ15" s="3252">
        <v>159</v>
      </c>
      <c r="BA15" s="3254">
        <v>159</v>
      </c>
      <c r="BB15" s="3251">
        <v>159</v>
      </c>
      <c r="BC15" s="3252">
        <v>159</v>
      </c>
      <c r="BD15" s="3254">
        <v>85</v>
      </c>
      <c r="BE15" s="3251">
        <v>85</v>
      </c>
      <c r="BF15" s="3252">
        <v>85</v>
      </c>
      <c r="BG15" s="3254">
        <v>85</v>
      </c>
      <c r="BH15" s="3251">
        <v>85</v>
      </c>
      <c r="BI15" s="3252">
        <v>85</v>
      </c>
      <c r="BJ15" s="3257">
        <v>57.5</v>
      </c>
      <c r="BK15" s="3252">
        <v>57.5</v>
      </c>
      <c r="BL15" s="3252">
        <v>57.5</v>
      </c>
      <c r="BM15" s="3252">
        <v>57.5</v>
      </c>
      <c r="BN15" s="3252">
        <v>57.5</v>
      </c>
      <c r="BO15" s="3252">
        <v>57.5</v>
      </c>
      <c r="BP15" s="3255">
        <v>15</v>
      </c>
      <c r="BQ15" s="3255">
        <v>15</v>
      </c>
      <c r="BR15" s="3252">
        <v>81.900000000000006</v>
      </c>
      <c r="BS15" s="3252">
        <v>81.900000000000006</v>
      </c>
      <c r="BT15" s="3252">
        <v>81.900000000000006</v>
      </c>
      <c r="BU15" s="3252">
        <v>240.9</v>
      </c>
      <c r="BV15" s="3252">
        <v>240.9</v>
      </c>
      <c r="BW15" s="3252">
        <v>240.9</v>
      </c>
      <c r="BX15" s="3252">
        <v>80</v>
      </c>
      <c r="BY15" s="3252">
        <v>80</v>
      </c>
      <c r="BZ15" s="3252">
        <v>80</v>
      </c>
      <c r="CA15" s="3252">
        <v>90</v>
      </c>
      <c r="CB15" s="3252">
        <v>90</v>
      </c>
      <c r="CC15" s="3252">
        <v>90</v>
      </c>
      <c r="CD15" s="3252">
        <v>120</v>
      </c>
      <c r="CE15" s="3252">
        <v>120</v>
      </c>
      <c r="CF15" s="3252">
        <v>120</v>
      </c>
      <c r="CG15" s="3252">
        <v>165</v>
      </c>
      <c r="CH15" s="3252">
        <v>165</v>
      </c>
      <c r="CI15" s="3252">
        <v>165</v>
      </c>
      <c r="CJ15" s="3252">
        <v>120</v>
      </c>
      <c r="CK15" s="3252">
        <v>120</v>
      </c>
      <c r="CL15" s="3252">
        <v>120</v>
      </c>
      <c r="CM15" s="3252">
        <v>453.33333333333331</v>
      </c>
      <c r="CN15" s="3252">
        <v>453.33333333333331</v>
      </c>
      <c r="CO15" s="3252">
        <v>453.33333333333331</v>
      </c>
    </row>
    <row r="16" spans="2:93" ht="16.5" x14ac:dyDescent="0.2">
      <c r="B16" s="3258" t="s">
        <v>1395</v>
      </c>
      <c r="C16" s="3259"/>
      <c r="D16" s="3260" t="s">
        <v>1058</v>
      </c>
      <c r="E16" s="3201">
        <v>283.85500000000002</v>
      </c>
      <c r="F16" s="3202">
        <v>306.97500000000002</v>
      </c>
      <c r="G16" s="3203">
        <v>559.23500000000001</v>
      </c>
      <c r="H16" s="3707">
        <v>283.85500000000002</v>
      </c>
      <c r="I16" s="3708">
        <v>301.97500000000002</v>
      </c>
      <c r="J16" s="3708">
        <v>301.97500000000002</v>
      </c>
      <c r="K16" s="3709">
        <v>559.23500000000001</v>
      </c>
      <c r="L16" s="3710">
        <v>301.97500000000002</v>
      </c>
      <c r="M16">
        <v>202.2</v>
      </c>
      <c r="N16">
        <v>288.72500000000002</v>
      </c>
      <c r="O16" s="3206">
        <v>549.23500000000001</v>
      </c>
      <c r="P16" s="3597">
        <v>162</v>
      </c>
      <c r="Q16" s="3598">
        <v>339.96000000000004</v>
      </c>
      <c r="R16" s="3599">
        <v>388.56625000000003</v>
      </c>
      <c r="S16" s="3707">
        <v>295.22249999999997</v>
      </c>
      <c r="T16" s="3709">
        <v>344.42625000000004</v>
      </c>
      <c r="U16">
        <v>393.63000000000005</v>
      </c>
      <c r="V16" s="3598">
        <v>336.62249999999995</v>
      </c>
      <c r="W16" s="3597">
        <v>411.42750000000001</v>
      </c>
      <c r="X16">
        <v>499.47949999999992</v>
      </c>
      <c r="Y16" s="3204">
        <v>336.62249999999995</v>
      </c>
      <c r="Z16" s="3202">
        <v>411.42750000000001</v>
      </c>
      <c r="AA16" s="3203">
        <v>486.23250000000002</v>
      </c>
      <c r="AB16">
        <v>207.0675</v>
      </c>
      <c r="AC16" s="3597">
        <v>253.08250000000001</v>
      </c>
      <c r="AD16" s="3599">
        <v>299.09750000000003</v>
      </c>
      <c r="AE16" s="3207"/>
      <c r="AF16" s="3204">
        <v>323.40000000000003</v>
      </c>
      <c r="AG16" s="3202">
        <v>382.2</v>
      </c>
      <c r="AH16" s="3203">
        <v>441</v>
      </c>
      <c r="AI16" s="3598">
        <v>335.16</v>
      </c>
      <c r="AJ16" s="3597">
        <v>404.98500000000001</v>
      </c>
      <c r="AK16">
        <v>474.81000000000006</v>
      </c>
      <c r="AL16" s="3208">
        <v>86.6875</v>
      </c>
      <c r="AM16" s="3202">
        <v>110.95999999999998</v>
      </c>
      <c r="AN16" s="3209">
        <v>138.69999999999999</v>
      </c>
      <c r="AO16" s="3598">
        <v>225.12149999999997</v>
      </c>
      <c r="AP16" s="3597">
        <v>262.64174999999994</v>
      </c>
      <c r="AQ16" s="3599">
        <v>300.16199999999998</v>
      </c>
      <c r="AR16" s="3205">
        <v>255.93000000000004</v>
      </c>
      <c r="AS16" s="3202">
        <v>294.31950000000001</v>
      </c>
      <c r="AT16" s="3203">
        <v>332.709</v>
      </c>
      <c r="AU16" s="3598">
        <v>230.33699999999999</v>
      </c>
      <c r="AV16" s="3597">
        <v>268.72650000000004</v>
      </c>
      <c r="AW16" s="3599">
        <v>307.11600000000004</v>
      </c>
      <c r="AX16" s="3204">
        <v>46.512</v>
      </c>
      <c r="AY16" s="3202">
        <v>58.1400000000001</v>
      </c>
      <c r="AZ16" s="3203">
        <v>69.768000000000029</v>
      </c>
      <c r="BA16" s="3205">
        <v>46.512</v>
      </c>
      <c r="BB16" s="3202">
        <v>58.1400000000001</v>
      </c>
      <c r="BC16" s="3203">
        <v>69.768000000000086</v>
      </c>
      <c r="BD16" s="3205">
        <v>31.635000000000019</v>
      </c>
      <c r="BE16" s="3202">
        <v>37.961999999999961</v>
      </c>
      <c r="BF16" s="3203">
        <v>44.289000000000044</v>
      </c>
      <c r="BG16" s="3205">
        <v>31.635000000000019</v>
      </c>
      <c r="BH16" s="3202">
        <v>37.961999999999961</v>
      </c>
      <c r="BI16" s="3203">
        <v>44.289000000000044</v>
      </c>
      <c r="BJ16" s="3209">
        <v>34.424999999999955</v>
      </c>
      <c r="BK16" s="3203">
        <v>42.075000000000045</v>
      </c>
      <c r="BL16" s="3203">
        <v>49.725000000000023</v>
      </c>
      <c r="BM16" s="3203">
        <v>38.25</v>
      </c>
      <c r="BN16" s="3203">
        <v>45.899999999999977</v>
      </c>
      <c r="BO16" s="3203">
        <v>53.550000000000011</v>
      </c>
      <c r="BP16" s="3206">
        <v>32.025000000000034</v>
      </c>
      <c r="BQ16" s="3206">
        <v>32.025000000000034</v>
      </c>
      <c r="BR16" s="3203">
        <v>15.81750000000001</v>
      </c>
      <c r="BS16" s="3203">
        <v>18.98099999999998</v>
      </c>
      <c r="BT16" s="3203">
        <v>22.144500000000022</v>
      </c>
      <c r="BU16" s="3203">
        <v>61.920000000000073</v>
      </c>
      <c r="BV16" s="3203">
        <v>69.853499999999997</v>
      </c>
      <c r="BW16" s="3203">
        <v>80.883000000000038</v>
      </c>
      <c r="BX16" s="3203">
        <v>30.78000000000003</v>
      </c>
      <c r="BY16" s="3203">
        <v>40.01400000000001</v>
      </c>
      <c r="BZ16" s="3203">
        <v>49.248000000000047</v>
      </c>
      <c r="CA16" s="3203">
        <v>46.512000000000057</v>
      </c>
      <c r="CB16" s="3203">
        <v>58.139999999999986</v>
      </c>
      <c r="CC16" s="3203">
        <v>69.767999999999915</v>
      </c>
      <c r="CD16" s="3203">
        <v>45.315000000000055</v>
      </c>
      <c r="CE16" s="3203">
        <v>58.909500000000037</v>
      </c>
      <c r="CF16" s="3203">
        <v>72.504000000000019</v>
      </c>
      <c r="CG16" s="3203">
        <v>56.42999999999995</v>
      </c>
      <c r="CH16" s="3203">
        <v>62.700000000000045</v>
      </c>
      <c r="CI16" s="3203">
        <v>68.96999999999997</v>
      </c>
      <c r="CJ16" s="3203">
        <v>45.315000000000055</v>
      </c>
      <c r="CK16" s="3203">
        <v>58.909500000000037</v>
      </c>
      <c r="CL16" s="3203">
        <v>72.504000000000019</v>
      </c>
      <c r="CM16" s="3203">
        <v>22.800000000000068</v>
      </c>
      <c r="CN16" s="3203">
        <v>29.639999999999986</v>
      </c>
      <c r="CO16" s="3203">
        <v>36.480000000000018</v>
      </c>
    </row>
    <row r="17" spans="2:93" ht="16.5" x14ac:dyDescent="0.2">
      <c r="B17" s="3261" t="s">
        <v>1396</v>
      </c>
      <c r="C17" s="3262"/>
      <c r="D17" s="3260" t="s">
        <v>1058</v>
      </c>
      <c r="E17" s="3201">
        <v>0</v>
      </c>
      <c r="F17" s="3202">
        <v>5</v>
      </c>
      <c r="G17" s="3203">
        <v>10</v>
      </c>
      <c r="H17" s="3707">
        <v>0</v>
      </c>
      <c r="I17" s="3708">
        <v>0</v>
      </c>
      <c r="J17" s="3708">
        <v>0</v>
      </c>
      <c r="K17" s="3709">
        <v>0</v>
      </c>
      <c r="L17" s="3710">
        <v>0</v>
      </c>
      <c r="M17">
        <v>0</v>
      </c>
      <c r="N17">
        <v>0</v>
      </c>
      <c r="O17" s="3206">
        <v>5.61</v>
      </c>
      <c r="P17" s="3597">
        <v>0</v>
      </c>
      <c r="Q17" s="3598">
        <v>0</v>
      </c>
      <c r="R17" s="3599">
        <v>0</v>
      </c>
      <c r="S17" s="3707">
        <v>0</v>
      </c>
      <c r="T17" s="3709">
        <v>0</v>
      </c>
      <c r="U17">
        <v>0</v>
      </c>
      <c r="V17" s="3598">
        <v>0</v>
      </c>
      <c r="W17" s="3597">
        <v>0</v>
      </c>
      <c r="X17">
        <v>0</v>
      </c>
      <c r="Y17" s="3204">
        <v>0</v>
      </c>
      <c r="Z17" s="3202">
        <v>0</v>
      </c>
      <c r="AA17" s="3203">
        <v>0</v>
      </c>
      <c r="AB17">
        <v>0</v>
      </c>
      <c r="AC17" s="3597">
        <v>0</v>
      </c>
      <c r="AD17" s="3599">
        <v>0</v>
      </c>
      <c r="AE17" s="3207"/>
      <c r="AF17" s="3204">
        <v>71.080000000000013</v>
      </c>
      <c r="AG17" s="3202">
        <v>71.080000000000013</v>
      </c>
      <c r="AH17" s="3203">
        <v>71.080000000000013</v>
      </c>
      <c r="AI17" s="3598">
        <v>71.080000000000013</v>
      </c>
      <c r="AJ17" s="3597">
        <v>71.080000000000013</v>
      </c>
      <c r="AK17">
        <v>71.080000000000013</v>
      </c>
      <c r="AL17" s="3208">
        <v>0</v>
      </c>
      <c r="AM17" s="3202">
        <v>0</v>
      </c>
      <c r="AN17" s="3209">
        <v>0</v>
      </c>
      <c r="AO17" s="3598">
        <v>38.25</v>
      </c>
      <c r="AP17" s="3597">
        <v>76.5</v>
      </c>
      <c r="AQ17" s="3599">
        <v>85</v>
      </c>
      <c r="AR17" s="3205">
        <v>71.080000000000013</v>
      </c>
      <c r="AS17" s="3202">
        <v>71.080000000000013</v>
      </c>
      <c r="AT17" s="3203">
        <v>71.080000000000013</v>
      </c>
      <c r="AU17" s="3598">
        <v>71.080000000000013</v>
      </c>
      <c r="AV17" s="3597">
        <v>71.080000000000013</v>
      </c>
      <c r="AW17" s="3599">
        <v>71.080000000000013</v>
      </c>
      <c r="AX17" s="3204">
        <v>71.080000000000013</v>
      </c>
      <c r="AY17" s="3202">
        <v>71.080000000000013</v>
      </c>
      <c r="AZ17" s="3203">
        <v>71.080000000000013</v>
      </c>
      <c r="BA17" s="3205">
        <v>71.080000000000013</v>
      </c>
      <c r="BB17" s="3202">
        <v>71.080000000000013</v>
      </c>
      <c r="BC17" s="3203">
        <v>71.080000000000013</v>
      </c>
      <c r="BD17" s="3205">
        <v>38.25</v>
      </c>
      <c r="BE17" s="3202">
        <v>76.5</v>
      </c>
      <c r="BF17" s="3203">
        <v>85</v>
      </c>
      <c r="BG17" s="3205">
        <v>38.25</v>
      </c>
      <c r="BH17" s="3202">
        <v>59.499999999999993</v>
      </c>
      <c r="BI17" s="3203">
        <v>76.5</v>
      </c>
      <c r="BJ17" s="3209">
        <v>0</v>
      </c>
      <c r="BK17" s="3203">
        <v>0</v>
      </c>
      <c r="BL17" s="3203">
        <v>0</v>
      </c>
      <c r="BM17" s="3203">
        <v>0</v>
      </c>
      <c r="BN17" s="3203">
        <v>0</v>
      </c>
      <c r="BO17" s="3203">
        <v>0</v>
      </c>
      <c r="BP17" s="3206">
        <v>0</v>
      </c>
      <c r="BQ17" s="3206">
        <v>0</v>
      </c>
      <c r="BR17" s="3203">
        <v>0</v>
      </c>
      <c r="BS17" s="3203">
        <v>0</v>
      </c>
      <c r="BT17" s="3203">
        <v>0</v>
      </c>
      <c r="BU17" s="3203">
        <v>73.725000000000009</v>
      </c>
      <c r="BV17" s="3203">
        <v>73.725000000000009</v>
      </c>
      <c r="BW17" s="3203">
        <v>73.725000000000009</v>
      </c>
      <c r="BX17" s="3203">
        <v>30.25</v>
      </c>
      <c r="BY17" s="3203">
        <v>30.25</v>
      </c>
      <c r="BZ17" s="3203">
        <v>30.25</v>
      </c>
      <c r="CA17" s="3203">
        <v>80</v>
      </c>
      <c r="CB17" s="3203">
        <v>80</v>
      </c>
      <c r="CC17" s="3203">
        <v>80</v>
      </c>
      <c r="CD17" s="3203">
        <v>30.25</v>
      </c>
      <c r="CE17" s="3203">
        <v>30.25</v>
      </c>
      <c r="CF17" s="3203">
        <v>30.25</v>
      </c>
      <c r="CG17" s="3203">
        <v>68.5</v>
      </c>
      <c r="CH17" s="3203">
        <v>106.75</v>
      </c>
      <c r="CI17" s="3203">
        <v>115.25</v>
      </c>
      <c r="CJ17" s="3203">
        <v>30.25</v>
      </c>
      <c r="CK17" s="3203">
        <v>30.25</v>
      </c>
      <c r="CL17" s="3203">
        <v>30.25</v>
      </c>
      <c r="CM17" s="3203">
        <v>4.1609999999999996</v>
      </c>
      <c r="CN17" s="3203">
        <v>4.1609999999999996</v>
      </c>
      <c r="CO17" s="3203">
        <v>4.1609999999999996</v>
      </c>
    </row>
    <row r="18" spans="2:93" ht="16.5" x14ac:dyDescent="0.2">
      <c r="B18" s="3261" t="s">
        <v>1397</v>
      </c>
      <c r="C18" s="3262"/>
      <c r="D18" s="3260" t="s">
        <v>1058</v>
      </c>
      <c r="E18" s="3201">
        <v>109.99050999482353</v>
      </c>
      <c r="F18" s="3202">
        <v>116.11428124482353</v>
      </c>
      <c r="G18" s="3203">
        <v>164.31490592352944</v>
      </c>
      <c r="H18" s="3707">
        <v>143.293748824148</v>
      </c>
      <c r="I18" s="3708">
        <v>76.857747459529406</v>
      </c>
      <c r="J18" s="3708">
        <v>148.03917749304932</v>
      </c>
      <c r="K18" s="3709">
        <v>214.81067361229981</v>
      </c>
      <c r="L18" s="3710">
        <v>99.262473304235286</v>
      </c>
      <c r="M18">
        <v>86.128528253507341</v>
      </c>
      <c r="N18">
        <v>140.30027215036313</v>
      </c>
      <c r="O18" s="3206">
        <v>225.20806975999997</v>
      </c>
      <c r="P18" s="3597">
        <v>26.123824112941175</v>
      </c>
      <c r="Q18" s="3598">
        <v>41.115680927058818</v>
      </c>
      <c r="R18" s="3599">
        <v>41.115680927058818</v>
      </c>
      <c r="S18" s="3707">
        <v>180.10715398073529</v>
      </c>
      <c r="T18" s="3709">
        <v>200.77488194948529</v>
      </c>
      <c r="U18">
        <v>221.44260991823529</v>
      </c>
      <c r="V18" s="3598">
        <v>180.10715398073529</v>
      </c>
      <c r="W18" s="3597">
        <v>207.66412460573528</v>
      </c>
      <c r="X18">
        <v>238.99204910573528</v>
      </c>
      <c r="Y18" s="3204">
        <v>227.99242477236373</v>
      </c>
      <c r="Z18" s="3202">
        <v>260.54746138674523</v>
      </c>
      <c r="AA18" s="3203">
        <v>293.10249800112678</v>
      </c>
      <c r="AB18">
        <v>195.63242489121802</v>
      </c>
      <c r="AC18" s="3597">
        <v>209.56099210547563</v>
      </c>
      <c r="AD18" s="3599">
        <v>242.70283088443915</v>
      </c>
      <c r="AE18" s="3207"/>
      <c r="AF18" s="3204">
        <v>164.2473467192157</v>
      </c>
      <c r="AG18" s="3202">
        <v>173.867303765918</v>
      </c>
      <c r="AH18" s="3203">
        <v>164.21227747144385</v>
      </c>
      <c r="AI18" s="3598">
        <v>142.11108918737969</v>
      </c>
      <c r="AJ18" s="3597">
        <v>153.53478818033867</v>
      </c>
      <c r="AK18">
        <v>164.95848717329767</v>
      </c>
      <c r="AL18" s="3208">
        <v>83.333132000000006</v>
      </c>
      <c r="AM18" s="3202">
        <v>88.902540799999997</v>
      </c>
      <c r="AN18" s="3209">
        <v>94.471949600000016</v>
      </c>
      <c r="AO18" s="3598">
        <v>158.23431357614706</v>
      </c>
      <c r="AP18" s="3597">
        <v>163.88904457766176</v>
      </c>
      <c r="AQ18" s="3599">
        <v>169.54377557917647</v>
      </c>
      <c r="AR18" s="3205">
        <v>116.2759545417647</v>
      </c>
      <c r="AS18" s="3202">
        <v>120.62574761985294</v>
      </c>
      <c r="AT18" s="3203">
        <v>124.97554069794117</v>
      </c>
      <c r="AU18" s="3598">
        <v>108.81916640789916</v>
      </c>
      <c r="AV18" s="3597">
        <v>112.40947180568628</v>
      </c>
      <c r="AW18" s="3599">
        <v>115.9997772034734</v>
      </c>
      <c r="AX18" s="3204">
        <v>124.42104217882353</v>
      </c>
      <c r="AY18" s="3202">
        <v>124.42104217882353</v>
      </c>
      <c r="AZ18" s="3203">
        <v>124.42104217882353</v>
      </c>
      <c r="BA18" s="3205">
        <v>179.25479734502673</v>
      </c>
      <c r="BB18" s="3202">
        <v>193.0657047824599</v>
      </c>
      <c r="BC18" s="3203">
        <v>206.67167492812834</v>
      </c>
      <c r="BD18" s="3205">
        <v>119.13843367529412</v>
      </c>
      <c r="BE18" s="3202">
        <v>119.13843367529412</v>
      </c>
      <c r="BF18" s="3203">
        <v>119.13843367529412</v>
      </c>
      <c r="BG18" s="3205">
        <v>162.22209844873953</v>
      </c>
      <c r="BH18" s="3202">
        <v>170.83883140342857</v>
      </c>
      <c r="BI18" s="3203">
        <v>179.45556435811767</v>
      </c>
      <c r="BJ18" s="3209">
        <v>125.5471750682353</v>
      </c>
      <c r="BK18" s="3203">
        <v>125.5471750682353</v>
      </c>
      <c r="BL18" s="3203">
        <v>125.5471750682353</v>
      </c>
      <c r="BM18" s="3203">
        <v>259.3552933738099</v>
      </c>
      <c r="BN18" s="3203">
        <v>273.71912831351307</v>
      </c>
      <c r="BO18" s="3203">
        <v>288.08296325321623</v>
      </c>
      <c r="BP18" s="3206">
        <v>21.673965548941176</v>
      </c>
      <c r="BQ18" s="3206">
        <v>123.52143459262929</v>
      </c>
      <c r="BR18" s="3203">
        <v>145.88137748729412</v>
      </c>
      <c r="BS18" s="3203">
        <v>151.91309055557647</v>
      </c>
      <c r="BT18" s="3203">
        <v>157.94480362385883</v>
      </c>
      <c r="BU18" s="3203">
        <v>239.55429047332069</v>
      </c>
      <c r="BV18" s="3203">
        <v>250.05090489605314</v>
      </c>
      <c r="BW18" s="3203">
        <v>264.64375909351043</v>
      </c>
      <c r="BX18" s="3203">
        <v>172.99301464210083</v>
      </c>
      <c r="BY18" s="3203">
        <v>189.14938893214287</v>
      </c>
      <c r="BZ18" s="3203">
        <v>205.30576322218488</v>
      </c>
      <c r="CA18" s="3203">
        <v>172.67474672508234</v>
      </c>
      <c r="CB18" s="3203">
        <v>184.73817286164706</v>
      </c>
      <c r="CC18" s="3203">
        <v>196.80159899821174</v>
      </c>
      <c r="CD18" s="3203">
        <v>172.99301464210083</v>
      </c>
      <c r="CE18" s="3203">
        <v>189.14938893214287</v>
      </c>
      <c r="CF18" s="3203">
        <v>205.30576322218488</v>
      </c>
      <c r="CG18" s="3203">
        <v>243.31963318944975</v>
      </c>
      <c r="CH18" s="3203">
        <v>253.04820265442126</v>
      </c>
      <c r="CI18" s="3203">
        <v>262.77677211939283</v>
      </c>
      <c r="CJ18" s="3203">
        <v>172.99301464210083</v>
      </c>
      <c r="CK18" s="3203">
        <v>189.14938893214287</v>
      </c>
      <c r="CL18" s="3203">
        <v>205.30576322218488</v>
      </c>
      <c r="CM18" s="3203">
        <v>64.560814261551826</v>
      </c>
      <c r="CN18" s="3203">
        <v>80.717188551593836</v>
      </c>
      <c r="CO18" s="3203">
        <v>96.873562841635874</v>
      </c>
    </row>
    <row r="19" spans="2:93" ht="16.5" x14ac:dyDescent="0.2">
      <c r="B19" s="3261" t="s">
        <v>1398</v>
      </c>
      <c r="C19" s="3262"/>
      <c r="D19" s="3260" t="s">
        <v>1058</v>
      </c>
      <c r="E19" s="3201">
        <v>0</v>
      </c>
      <c r="F19" s="3202">
        <v>13.650000000000002</v>
      </c>
      <c r="G19" s="3203">
        <v>13.650000000000002</v>
      </c>
      <c r="H19" s="3707">
        <v>13.650000000000002</v>
      </c>
      <c r="I19" s="3708">
        <v>298.64999999999998</v>
      </c>
      <c r="J19" s="3708">
        <v>9.7500000000000018</v>
      </c>
      <c r="K19" s="3709">
        <v>13.650000000000002</v>
      </c>
      <c r="L19" s="3710">
        <v>447.93571428571425</v>
      </c>
      <c r="M19">
        <v>127.54360465116279</v>
      </c>
      <c r="N19">
        <v>159.42950581395348</v>
      </c>
      <c r="O19" s="3206">
        <v>1754.6666666666665</v>
      </c>
      <c r="P19" s="3597">
        <v>0</v>
      </c>
      <c r="Q19" s="3598">
        <v>10.4</v>
      </c>
      <c r="R19" s="3599">
        <v>10.4</v>
      </c>
      <c r="S19" s="3707">
        <v>0</v>
      </c>
      <c r="T19" s="3709">
        <v>0</v>
      </c>
      <c r="U19">
        <v>0</v>
      </c>
      <c r="V19" s="3598">
        <v>0</v>
      </c>
      <c r="W19" s="3597">
        <v>0</v>
      </c>
      <c r="X19">
        <v>0</v>
      </c>
      <c r="Y19" s="3204">
        <v>0</v>
      </c>
      <c r="Z19" s="3202">
        <v>0</v>
      </c>
      <c r="AA19" s="3203">
        <v>0</v>
      </c>
      <c r="AB19">
        <v>228</v>
      </c>
      <c r="AC19" s="3597">
        <v>240</v>
      </c>
      <c r="AD19" s="3599">
        <v>252</v>
      </c>
      <c r="AE19" s="3207"/>
      <c r="AF19" s="3204">
        <v>217.5</v>
      </c>
      <c r="AG19" s="3202">
        <v>235</v>
      </c>
      <c r="AH19" s="3203">
        <v>252.50000000000003</v>
      </c>
      <c r="AI19" s="3598">
        <v>217.5</v>
      </c>
      <c r="AJ19" s="3597">
        <v>235</v>
      </c>
      <c r="AK19">
        <v>252.50000000000003</v>
      </c>
      <c r="AL19" s="3208">
        <v>0</v>
      </c>
      <c r="AM19" s="3202">
        <v>0</v>
      </c>
      <c r="AN19" s="3209">
        <v>0</v>
      </c>
      <c r="AO19" s="3598">
        <v>139.5</v>
      </c>
      <c r="AP19" s="3597">
        <v>155</v>
      </c>
      <c r="AQ19" s="3599">
        <v>170.5</v>
      </c>
      <c r="AR19" s="3205">
        <v>217.5</v>
      </c>
      <c r="AS19" s="3202">
        <v>235</v>
      </c>
      <c r="AT19" s="3203">
        <v>252.50000000000003</v>
      </c>
      <c r="AU19" s="3598">
        <v>276</v>
      </c>
      <c r="AV19" s="3597">
        <v>300</v>
      </c>
      <c r="AW19" s="3599">
        <v>324</v>
      </c>
      <c r="AX19" s="3204">
        <v>88.868181818181824</v>
      </c>
      <c r="AY19" s="3202">
        <v>111.08522727272728</v>
      </c>
      <c r="AZ19" s="3203">
        <v>133.30227272727274</v>
      </c>
      <c r="BA19" s="3205">
        <v>246.36818181818182</v>
      </c>
      <c r="BB19" s="3202">
        <v>286.08522727272725</v>
      </c>
      <c r="BC19" s="3203">
        <v>325.80227272727279</v>
      </c>
      <c r="BD19" s="3205">
        <v>75.411000000000016</v>
      </c>
      <c r="BE19" s="3202">
        <v>90.493200000000002</v>
      </c>
      <c r="BF19" s="3203">
        <v>105.57540000000002</v>
      </c>
      <c r="BG19" s="3205">
        <v>214.911</v>
      </c>
      <c r="BH19" s="3202">
        <v>245.4932</v>
      </c>
      <c r="BI19" s="3203">
        <v>276.0754</v>
      </c>
      <c r="BJ19" s="3209">
        <v>68.647950000000009</v>
      </c>
      <c r="BK19" s="3203">
        <v>83.903050000000007</v>
      </c>
      <c r="BL19" s="3203">
        <v>99.158150000000006</v>
      </c>
      <c r="BM19" s="3203">
        <v>224.50828124999998</v>
      </c>
      <c r="BN19" s="3203">
        <v>255.80993749999999</v>
      </c>
      <c r="BO19" s="3203">
        <v>287.11159375</v>
      </c>
      <c r="BP19" s="3206">
        <v>62.03425</v>
      </c>
      <c r="BQ19" s="3206">
        <v>197.03424999999999</v>
      </c>
      <c r="BR19" s="3203">
        <v>180.59444999999999</v>
      </c>
      <c r="BS19" s="3203">
        <v>205.11333999999999</v>
      </c>
      <c r="BT19" s="3203">
        <v>229.63222999999999</v>
      </c>
      <c r="BU19" s="3203">
        <v>417.36</v>
      </c>
      <c r="BV19" s="3203">
        <v>465.93425000000002</v>
      </c>
      <c r="BW19" s="3203">
        <v>520.97649999999999</v>
      </c>
      <c r="BX19" s="3203">
        <v>412.185</v>
      </c>
      <c r="BY19" s="3203">
        <v>476.34050000000002</v>
      </c>
      <c r="BZ19" s="3203">
        <v>540.49600000000009</v>
      </c>
      <c r="CA19" s="3203">
        <v>228.20352000000003</v>
      </c>
      <c r="CB19" s="3203">
        <v>264.00439999999998</v>
      </c>
      <c r="CC19" s="3203">
        <v>299.80528000000004</v>
      </c>
      <c r="CD19" s="3203">
        <v>254.685</v>
      </c>
      <c r="CE19" s="3203">
        <v>301.34050000000002</v>
      </c>
      <c r="CF19" s="3203">
        <v>347.99599999999998</v>
      </c>
      <c r="CG19" s="3203">
        <v>447.822</v>
      </c>
      <c r="CH19" s="3203">
        <v>497.58</v>
      </c>
      <c r="CI19" s="3203">
        <v>547.33800000000008</v>
      </c>
      <c r="CJ19" s="3203">
        <v>254.685</v>
      </c>
      <c r="CK19" s="3203">
        <v>301.34050000000002</v>
      </c>
      <c r="CL19" s="3203">
        <v>347.99599999999998</v>
      </c>
      <c r="CM19" s="3203">
        <v>245.85</v>
      </c>
      <c r="CN19" s="3203">
        <v>289.85500000000002</v>
      </c>
      <c r="CO19" s="3203">
        <v>333.86</v>
      </c>
    </row>
    <row r="20" spans="2:93" ht="16.5" x14ac:dyDescent="0.2">
      <c r="B20" s="3261" t="s">
        <v>1399</v>
      </c>
      <c r="C20" s="3262"/>
      <c r="D20" s="3260" t="s">
        <v>1058</v>
      </c>
      <c r="E20" s="3201">
        <v>0</v>
      </c>
      <c r="F20" s="3202">
        <v>0</v>
      </c>
      <c r="G20" s="3203">
        <v>0</v>
      </c>
      <c r="H20" s="3707">
        <v>30</v>
      </c>
      <c r="I20" s="3708">
        <v>30</v>
      </c>
      <c r="J20" s="3708">
        <v>12</v>
      </c>
      <c r="K20" s="3709">
        <v>30</v>
      </c>
      <c r="L20" s="3710">
        <v>0</v>
      </c>
      <c r="M20">
        <v>0</v>
      </c>
      <c r="N20">
        <v>0</v>
      </c>
      <c r="O20" s="3206">
        <v>0</v>
      </c>
      <c r="P20" s="3597">
        <v>70</v>
      </c>
      <c r="Q20" s="3598">
        <v>70</v>
      </c>
      <c r="R20" s="3599">
        <v>55</v>
      </c>
      <c r="S20" s="3707">
        <v>0</v>
      </c>
      <c r="T20" s="3709">
        <v>0</v>
      </c>
      <c r="U20">
        <v>0</v>
      </c>
      <c r="V20" s="3598">
        <v>0</v>
      </c>
      <c r="W20" s="3597">
        <v>0</v>
      </c>
      <c r="X20">
        <v>0</v>
      </c>
      <c r="Y20" s="3204">
        <v>30</v>
      </c>
      <c r="Z20" s="3202">
        <v>30</v>
      </c>
      <c r="AA20" s="3203">
        <v>30</v>
      </c>
      <c r="AB20">
        <v>30</v>
      </c>
      <c r="AC20" s="3597">
        <v>30</v>
      </c>
      <c r="AD20" s="3599">
        <v>30</v>
      </c>
      <c r="AE20" s="3207"/>
      <c r="AF20" s="3204">
        <v>22.872960000000006</v>
      </c>
      <c r="AG20" s="3202">
        <v>27.454049999999999</v>
      </c>
      <c r="AH20" s="3203">
        <v>31.67775</v>
      </c>
      <c r="AI20" s="3598">
        <v>67.83535599999999</v>
      </c>
      <c r="AJ20" s="3597">
        <v>73.4710714</v>
      </c>
      <c r="AK20">
        <v>78.724704400000007</v>
      </c>
      <c r="AL20" s="3208">
        <v>0</v>
      </c>
      <c r="AM20" s="3202">
        <v>0</v>
      </c>
      <c r="AN20" s="3209">
        <v>0</v>
      </c>
      <c r="AO20" s="3598">
        <v>53.691603999999998</v>
      </c>
      <c r="AP20" s="3597">
        <v>55.688599000000004</v>
      </c>
      <c r="AQ20" s="3599">
        <v>57.501256000000005</v>
      </c>
      <c r="AR20" s="3205">
        <v>73.313360000000003</v>
      </c>
      <c r="AS20" s="3202">
        <v>77.860364000000004</v>
      </c>
      <c r="AT20" s="3203">
        <v>82.407368000000019</v>
      </c>
      <c r="AU20" s="3598">
        <v>108.862756</v>
      </c>
      <c r="AV20" s="3597">
        <v>119.83988199999999</v>
      </c>
      <c r="AW20" s="3599">
        <v>130.81700800000002</v>
      </c>
      <c r="AX20" s="3204">
        <v>18.232703999999998</v>
      </c>
      <c r="AY20" s="3202">
        <v>22.790880000000001</v>
      </c>
      <c r="AZ20" s="3203">
        <v>27.349056000000001</v>
      </c>
      <c r="BA20" s="3205">
        <v>61.232703999999998</v>
      </c>
      <c r="BB20" s="3202">
        <v>65.790880000000001</v>
      </c>
      <c r="BC20" s="3203">
        <v>70.349056000000004</v>
      </c>
      <c r="BD20" s="3205">
        <v>10.054799999999998</v>
      </c>
      <c r="BE20" s="3202">
        <v>12.065759999999997</v>
      </c>
      <c r="BF20" s="3203">
        <v>14.076719999999998</v>
      </c>
      <c r="BG20" s="3205">
        <v>53.0548</v>
      </c>
      <c r="BH20" s="3202">
        <v>55.065759999999997</v>
      </c>
      <c r="BI20" s="3203">
        <v>57.076719999999995</v>
      </c>
      <c r="BJ20" s="3209">
        <v>0</v>
      </c>
      <c r="BK20" s="3203">
        <v>0</v>
      </c>
      <c r="BL20" s="3203">
        <v>0</v>
      </c>
      <c r="BM20" s="3203">
        <v>30</v>
      </c>
      <c r="BN20" s="3203">
        <v>30</v>
      </c>
      <c r="BO20" s="3203">
        <v>30</v>
      </c>
      <c r="BP20" s="3206">
        <v>0</v>
      </c>
      <c r="BQ20" s="3206">
        <v>30</v>
      </c>
      <c r="BR20" s="3203">
        <v>47.996192499999999</v>
      </c>
      <c r="BS20" s="3203">
        <v>48.995430999999996</v>
      </c>
      <c r="BT20" s="3203">
        <v>49.994669500000001</v>
      </c>
      <c r="BU20" s="3203">
        <v>80.409599999999998</v>
      </c>
      <c r="BV20" s="3203">
        <v>82.640205000000009</v>
      </c>
      <c r="BW20" s="3203">
        <v>85.741290000000006</v>
      </c>
      <c r="BX20" s="3203">
        <v>54.132099999999994</v>
      </c>
      <c r="BY20" s="3203">
        <v>57.471729999999994</v>
      </c>
      <c r="BZ20" s="3203">
        <v>60.811360000000001</v>
      </c>
      <c r="CA20" s="3203">
        <v>54.450159999999997</v>
      </c>
      <c r="CB20" s="3203">
        <v>57.3127</v>
      </c>
      <c r="CC20" s="3203">
        <v>60.175240000000002</v>
      </c>
      <c r="CD20" s="3203">
        <v>57.100659999999998</v>
      </c>
      <c r="CE20" s="3203">
        <v>61.330857999999999</v>
      </c>
      <c r="CF20" s="3203">
        <v>65.561055999999994</v>
      </c>
      <c r="CG20" s="3203">
        <v>66.602732000000003</v>
      </c>
      <c r="CH20" s="3203">
        <v>68.447479999999999</v>
      </c>
      <c r="CI20" s="3203">
        <v>70.292227999999994</v>
      </c>
      <c r="CJ20" s="3203">
        <v>57.100659999999998</v>
      </c>
      <c r="CK20" s="3203">
        <v>61.330857999999999</v>
      </c>
      <c r="CL20" s="3203">
        <v>65.561055999999994</v>
      </c>
      <c r="CM20" s="3203">
        <v>50.103340000000003</v>
      </c>
      <c r="CN20" s="3203">
        <v>52.234341999999998</v>
      </c>
      <c r="CO20" s="3203">
        <v>54.365344</v>
      </c>
    </row>
    <row r="21" spans="2:93" ht="16.5" x14ac:dyDescent="0.2">
      <c r="B21" s="3263" t="s">
        <v>1400</v>
      </c>
      <c r="C21" s="3264"/>
      <c r="D21" s="3265" t="s">
        <v>1058</v>
      </c>
      <c r="E21" s="3266">
        <v>0</v>
      </c>
      <c r="F21" s="3267">
        <v>0</v>
      </c>
      <c r="G21" s="3268">
        <v>0</v>
      </c>
      <c r="H21" s="3723">
        <v>0</v>
      </c>
      <c r="I21" s="3724">
        <v>0</v>
      </c>
      <c r="J21" s="3724">
        <v>0</v>
      </c>
      <c r="K21" s="3725">
        <v>0</v>
      </c>
      <c r="L21" s="3726">
        <v>0</v>
      </c>
      <c r="M21">
        <v>0</v>
      </c>
      <c r="N21">
        <v>0</v>
      </c>
      <c r="O21" s="3271">
        <v>0</v>
      </c>
      <c r="P21" s="3611">
        <v>0</v>
      </c>
      <c r="Q21" s="3612">
        <v>0</v>
      </c>
      <c r="R21" s="3613">
        <v>0</v>
      </c>
      <c r="S21" s="3723">
        <v>0</v>
      </c>
      <c r="T21" s="3725">
        <v>0</v>
      </c>
      <c r="U21">
        <v>0</v>
      </c>
      <c r="V21" s="3612">
        <v>0</v>
      </c>
      <c r="W21" s="3611">
        <v>0</v>
      </c>
      <c r="X21">
        <v>0</v>
      </c>
      <c r="Y21" s="3269">
        <v>0</v>
      </c>
      <c r="Z21" s="3267">
        <v>0</v>
      </c>
      <c r="AA21" s="3268">
        <v>0</v>
      </c>
      <c r="AB21">
        <v>0</v>
      </c>
      <c r="AC21" s="3611">
        <v>0</v>
      </c>
      <c r="AD21" s="3613">
        <v>0</v>
      </c>
      <c r="AE21" s="3207"/>
      <c r="AF21" s="3269">
        <v>0</v>
      </c>
      <c r="AG21" s="3267">
        <v>0</v>
      </c>
      <c r="AH21" s="3268">
        <v>0</v>
      </c>
      <c r="AI21" s="3612">
        <v>0</v>
      </c>
      <c r="AJ21" s="3611">
        <v>0</v>
      </c>
      <c r="AK21">
        <v>0</v>
      </c>
      <c r="AL21" s="3272">
        <v>0</v>
      </c>
      <c r="AM21" s="3267">
        <v>0</v>
      </c>
      <c r="AN21" s="3273">
        <v>0</v>
      </c>
      <c r="AO21" s="3612">
        <v>0</v>
      </c>
      <c r="AP21" s="3611">
        <v>0</v>
      </c>
      <c r="AQ21" s="3613">
        <v>0</v>
      </c>
      <c r="AR21" s="3270">
        <v>0</v>
      </c>
      <c r="AS21" s="3267">
        <v>0</v>
      </c>
      <c r="AT21" s="3268">
        <v>0</v>
      </c>
      <c r="AU21" s="3612">
        <v>0</v>
      </c>
      <c r="AV21" s="3611">
        <v>0</v>
      </c>
      <c r="AW21" s="3613">
        <v>0</v>
      </c>
      <c r="AX21" s="3269">
        <v>0</v>
      </c>
      <c r="AY21" s="3267">
        <v>0</v>
      </c>
      <c r="AZ21" s="3268">
        <v>0</v>
      </c>
      <c r="BA21" s="3270">
        <v>0</v>
      </c>
      <c r="BB21" s="3267">
        <v>0</v>
      </c>
      <c r="BC21" s="3268">
        <v>0</v>
      </c>
      <c r="BD21" s="3270">
        <v>0</v>
      </c>
      <c r="BE21" s="3267">
        <v>0</v>
      </c>
      <c r="BF21" s="3268">
        <v>0</v>
      </c>
      <c r="BG21" s="3270">
        <v>0</v>
      </c>
      <c r="BH21" s="3267">
        <v>0</v>
      </c>
      <c r="BI21" s="3268">
        <v>0</v>
      </c>
      <c r="BJ21" s="3273">
        <v>0</v>
      </c>
      <c r="BK21" s="3268">
        <v>0</v>
      </c>
      <c r="BL21" s="3268">
        <v>0</v>
      </c>
      <c r="BM21" s="3268">
        <v>0</v>
      </c>
      <c r="BN21" s="3268">
        <v>0</v>
      </c>
      <c r="BO21" s="3268">
        <v>0</v>
      </c>
      <c r="BP21" s="3271">
        <v>0</v>
      </c>
      <c r="BQ21" s="3271">
        <v>0</v>
      </c>
      <c r="BR21" s="3268">
        <v>0</v>
      </c>
      <c r="BS21" s="3268">
        <v>0</v>
      </c>
      <c r="BT21" s="3268">
        <v>0</v>
      </c>
      <c r="BU21" s="3268">
        <v>0</v>
      </c>
      <c r="BV21" s="3268">
        <v>0</v>
      </c>
      <c r="BW21" s="3268">
        <v>0</v>
      </c>
      <c r="BX21" s="3268">
        <v>0</v>
      </c>
      <c r="BY21" s="3268">
        <v>0</v>
      </c>
      <c r="BZ21" s="3268">
        <v>0</v>
      </c>
      <c r="CA21" s="3268">
        <v>0</v>
      </c>
      <c r="CB21" s="3268">
        <v>0</v>
      </c>
      <c r="CC21" s="3268">
        <v>0</v>
      </c>
      <c r="CD21" s="3268">
        <v>0</v>
      </c>
      <c r="CE21" s="3268">
        <v>0</v>
      </c>
      <c r="CF21" s="3268">
        <v>0</v>
      </c>
      <c r="CG21" s="3268">
        <v>0</v>
      </c>
      <c r="CH21" s="3268">
        <v>0</v>
      </c>
      <c r="CI21" s="3268">
        <v>0</v>
      </c>
      <c r="CJ21" s="3268">
        <v>0</v>
      </c>
      <c r="CK21" s="3268">
        <v>0</v>
      </c>
      <c r="CL21" s="3268">
        <v>0</v>
      </c>
      <c r="CM21" s="3268">
        <v>18</v>
      </c>
      <c r="CN21" s="3268">
        <v>18</v>
      </c>
      <c r="CO21" s="3268">
        <v>18</v>
      </c>
    </row>
    <row r="22" spans="2:93" ht="16.5" x14ac:dyDescent="0.2">
      <c r="B22" s="3274" t="s">
        <v>105</v>
      </c>
      <c r="C22" s="3275"/>
      <c r="D22" s="3276" t="s">
        <v>1058</v>
      </c>
      <c r="E22" s="3277">
        <v>393.84550999482354</v>
      </c>
      <c r="F22" s="3278">
        <v>456.73928124482353</v>
      </c>
      <c r="G22" s="3279">
        <v>762.1999059235294</v>
      </c>
      <c r="H22" s="3727">
        <v>485.79874882414799</v>
      </c>
      <c r="I22" s="3728">
        <v>722.48274745952938</v>
      </c>
      <c r="J22" s="3728">
        <v>504.76417749304937</v>
      </c>
      <c r="K22" s="3729">
        <v>832.69567361229986</v>
      </c>
      <c r="L22" s="3730">
        <v>864.17318758994952</v>
      </c>
      <c r="M22">
        <v>415.87213290467014</v>
      </c>
      <c r="N22">
        <v>588.45477796431669</v>
      </c>
      <c r="O22" s="3282">
        <v>2549.7197364266667</v>
      </c>
      <c r="P22" s="3614">
        <v>258.12382411294118</v>
      </c>
      <c r="Q22" s="3615">
        <v>479.47568092705882</v>
      </c>
      <c r="R22" s="3616">
        <v>513.08193092705881</v>
      </c>
      <c r="S22" s="3727">
        <v>533.8296539807352</v>
      </c>
      <c r="T22" s="3729">
        <v>603.70113194948533</v>
      </c>
      <c r="U22">
        <v>673.57260991823534</v>
      </c>
      <c r="V22" s="3615">
        <v>566.22965398073529</v>
      </c>
      <c r="W22" s="3614">
        <v>668.59162460573532</v>
      </c>
      <c r="X22">
        <v>787.97154910573522</v>
      </c>
      <c r="Y22" s="3280">
        <v>644.11492477236368</v>
      </c>
      <c r="Z22" s="3278">
        <v>751.47496138674524</v>
      </c>
      <c r="AA22" s="3279">
        <v>858.83499800112691</v>
      </c>
      <c r="AB22">
        <v>720.69992489121796</v>
      </c>
      <c r="AC22" s="3614">
        <v>792.64349210547562</v>
      </c>
      <c r="AD22" s="3616">
        <v>885.00033088443911</v>
      </c>
      <c r="AE22" s="3222"/>
      <c r="AF22" s="3280">
        <v>1002.1003067192158</v>
      </c>
      <c r="AG22" s="3278">
        <v>1092.6013537659182</v>
      </c>
      <c r="AH22" s="3279">
        <v>1163.4700274714439</v>
      </c>
      <c r="AI22" s="3615">
        <v>992.68644518737972</v>
      </c>
      <c r="AJ22" s="3614">
        <v>1097.0708595803387</v>
      </c>
      <c r="AK22">
        <v>1201.0731915732979</v>
      </c>
      <c r="AL22" s="3283">
        <v>210.02063200000001</v>
      </c>
      <c r="AM22" s="3278">
        <v>239.86254079999998</v>
      </c>
      <c r="AN22" s="3284">
        <v>273.1719496</v>
      </c>
      <c r="AO22" s="3615">
        <v>704.79741757614704</v>
      </c>
      <c r="AP22" s="3614">
        <v>803.71939357766178</v>
      </c>
      <c r="AQ22" s="3616">
        <v>872.70703157917649</v>
      </c>
      <c r="AR22" s="3281">
        <v>893.09931454176478</v>
      </c>
      <c r="AS22" s="3278">
        <v>957.88561161985297</v>
      </c>
      <c r="AT22" s="3279">
        <v>1022.6719086979411</v>
      </c>
      <c r="AU22" s="3615">
        <v>954.09892240789918</v>
      </c>
      <c r="AV22" s="3614">
        <v>1031.0558538056862</v>
      </c>
      <c r="AW22" s="3616">
        <v>1108.0127852034734</v>
      </c>
      <c r="AX22" s="3280">
        <v>508.11392799700536</v>
      </c>
      <c r="AY22" s="3278">
        <v>546.51714945155095</v>
      </c>
      <c r="AZ22" s="3279">
        <v>584.92037090609642</v>
      </c>
      <c r="BA22" s="3281">
        <v>763.44768316320858</v>
      </c>
      <c r="BB22" s="3278">
        <v>833.16181205518728</v>
      </c>
      <c r="BC22" s="3279">
        <v>902.67100365540125</v>
      </c>
      <c r="BD22" s="3281">
        <v>359.48923367529414</v>
      </c>
      <c r="BE22" s="3278">
        <v>421.15939367529404</v>
      </c>
      <c r="BF22" s="3279">
        <v>453.07955367529416</v>
      </c>
      <c r="BG22" s="3281">
        <v>585.07289844873958</v>
      </c>
      <c r="BH22" s="3278">
        <v>653.85979140342852</v>
      </c>
      <c r="BI22" s="3279">
        <v>718.39668435811768</v>
      </c>
      <c r="BJ22" s="3284">
        <v>286.12012506823527</v>
      </c>
      <c r="BK22" s="3279">
        <v>309.02522506823539</v>
      </c>
      <c r="BL22" s="3279">
        <v>331.93032506823533</v>
      </c>
      <c r="BM22" s="3279">
        <v>609.61357462380988</v>
      </c>
      <c r="BN22" s="3279">
        <v>662.92906581351303</v>
      </c>
      <c r="BO22" s="3279">
        <v>716.24455700321619</v>
      </c>
      <c r="BP22" s="3282">
        <v>130.73321554894119</v>
      </c>
      <c r="BQ22" s="3282">
        <v>397.58068459262932</v>
      </c>
      <c r="BR22" s="3279">
        <v>472.18951998729409</v>
      </c>
      <c r="BS22" s="3279">
        <v>506.90286155557646</v>
      </c>
      <c r="BT22" s="3279">
        <v>541.6162031238589</v>
      </c>
      <c r="BU22" s="3279">
        <v>1113.8688904733208</v>
      </c>
      <c r="BV22" s="3279">
        <v>1183.1038598960531</v>
      </c>
      <c r="BW22" s="3279">
        <v>1266.8695490935104</v>
      </c>
      <c r="BX22" s="3279">
        <v>780.34011464210084</v>
      </c>
      <c r="BY22" s="3279">
        <v>873.22561893214288</v>
      </c>
      <c r="BZ22" s="3279">
        <v>966.11112322218503</v>
      </c>
      <c r="CA22" s="3279">
        <v>671.84042672508235</v>
      </c>
      <c r="CB22" s="3279">
        <v>734.19527286164703</v>
      </c>
      <c r="CC22" s="3279">
        <v>796.5501189982117</v>
      </c>
      <c r="CD22" s="3279">
        <v>680.34367464210095</v>
      </c>
      <c r="CE22" s="3279">
        <v>760.9802469321429</v>
      </c>
      <c r="CF22" s="3279">
        <v>841.61681922218486</v>
      </c>
      <c r="CG22" s="3279">
        <v>1047.6743651894499</v>
      </c>
      <c r="CH22" s="3279">
        <v>1153.5256826544212</v>
      </c>
      <c r="CI22" s="3279">
        <v>1229.627000119393</v>
      </c>
      <c r="CJ22" s="3279">
        <v>680.34367464210095</v>
      </c>
      <c r="CK22" s="3279">
        <v>760.9802469321429</v>
      </c>
      <c r="CL22" s="3279">
        <v>841.61681922218486</v>
      </c>
      <c r="CM22" s="3279">
        <v>858.80848759488526</v>
      </c>
      <c r="CN22" s="3279">
        <v>927.94086388492724</v>
      </c>
      <c r="CO22" s="3279">
        <v>997.07324017496933</v>
      </c>
    </row>
    <row r="23" spans="2:93" ht="18" x14ac:dyDescent="0.2">
      <c r="B23" s="3285" t="s">
        <v>1401</v>
      </c>
      <c r="C23" s="3286"/>
      <c r="D23" s="3287" t="s">
        <v>1058</v>
      </c>
      <c r="E23" s="3288">
        <v>-393.84550999482354</v>
      </c>
      <c r="F23" s="3289">
        <v>-456.73928124482353</v>
      </c>
      <c r="G23" s="3290">
        <v>-762.1999059235294</v>
      </c>
      <c r="H23" s="3731">
        <v>-485.79874882414799</v>
      </c>
      <c r="I23" s="3732">
        <v>-722.48274745952938</v>
      </c>
      <c r="J23" s="3732">
        <v>-504.76417749304937</v>
      </c>
      <c r="K23" s="3733">
        <v>-832.69567361229986</v>
      </c>
      <c r="L23" s="3734">
        <v>-864.17318758994952</v>
      </c>
      <c r="M23">
        <v>-415.87213290467014</v>
      </c>
      <c r="N23">
        <v>-588.45477796431669</v>
      </c>
      <c r="O23" s="3293">
        <v>-2549.7197364266667</v>
      </c>
      <c r="P23" s="3617">
        <v>-258.12382411294118</v>
      </c>
      <c r="Q23" s="3618">
        <v>-479.47568092705882</v>
      </c>
      <c r="R23" s="3619">
        <v>-513.08193092705881</v>
      </c>
      <c r="S23" s="3727">
        <v>-533.8296539807352</v>
      </c>
      <c r="T23" s="3729">
        <v>-603.70113194948533</v>
      </c>
      <c r="U23">
        <v>-673.57260991823534</v>
      </c>
      <c r="V23" s="3615">
        <v>-566.22965398073529</v>
      </c>
      <c r="W23" s="3614">
        <v>-668.59162460573532</v>
      </c>
      <c r="X23">
        <v>-787.97154910573522</v>
      </c>
      <c r="Y23" s="3280">
        <v>-644.11492477236368</v>
      </c>
      <c r="Z23" s="3278">
        <v>-751.47496138674524</v>
      </c>
      <c r="AA23" s="3279">
        <v>-858.83499800112691</v>
      </c>
      <c r="AB23">
        <v>-720.69992489121796</v>
      </c>
      <c r="AC23" s="3614">
        <v>-792.64349210547562</v>
      </c>
      <c r="AD23" s="3616">
        <v>-885.00033088443911</v>
      </c>
      <c r="AE23" s="3222"/>
      <c r="AF23" s="3280">
        <v>-1002.1003067192158</v>
      </c>
      <c r="AG23" s="3278">
        <v>-1092.6013537659182</v>
      </c>
      <c r="AH23" s="3279">
        <v>-1163.4700274714439</v>
      </c>
      <c r="AI23" s="3615">
        <v>-992.68644518737972</v>
      </c>
      <c r="AJ23" s="3614">
        <v>-1097.0708595803387</v>
      </c>
      <c r="AK23">
        <v>-1201.0731915732979</v>
      </c>
      <c r="AL23" s="3283">
        <v>-210.02063200000001</v>
      </c>
      <c r="AM23" s="3278">
        <v>-239.86254079999998</v>
      </c>
      <c r="AN23" s="3284">
        <v>-273.1719496</v>
      </c>
      <c r="AO23" s="3615">
        <v>-704.79741757614704</v>
      </c>
      <c r="AP23" s="3614">
        <v>-803.71939357766178</v>
      </c>
      <c r="AQ23" s="3616">
        <v>-872.70703157917649</v>
      </c>
      <c r="AR23" s="3281">
        <v>-893.09931454176478</v>
      </c>
      <c r="AS23" s="3278">
        <v>-957.88561161985297</v>
      </c>
      <c r="AT23" s="3279">
        <v>-1022.6719086979411</v>
      </c>
      <c r="AU23" s="3615">
        <v>-954.09892240789918</v>
      </c>
      <c r="AV23" s="3614">
        <v>-1031.0558538056862</v>
      </c>
      <c r="AW23" s="3616">
        <v>-1108.0127852034734</v>
      </c>
      <c r="AX23" s="3280">
        <v>-508.11392799700536</v>
      </c>
      <c r="AY23" s="3278">
        <v>-546.51714945155095</v>
      </c>
      <c r="AZ23" s="3279">
        <v>-584.92037090609642</v>
      </c>
      <c r="BA23" s="3281">
        <v>-763.44768316320858</v>
      </c>
      <c r="BB23" s="3278">
        <v>-833.16181205518728</v>
      </c>
      <c r="BC23" s="3279">
        <v>-902.67100365540125</v>
      </c>
      <c r="BD23" s="3281">
        <v>-359.48923367529414</v>
      </c>
      <c r="BE23" s="3278">
        <v>-421.15939367529404</v>
      </c>
      <c r="BF23" s="3279">
        <v>-453.07955367529416</v>
      </c>
      <c r="BG23" s="3281">
        <v>-585.07289844873958</v>
      </c>
      <c r="BH23" s="3278">
        <v>-653.85979140342852</v>
      </c>
      <c r="BI23" s="3279">
        <v>-718.39668435811768</v>
      </c>
      <c r="BJ23" s="3284">
        <v>-286.12012506823527</v>
      </c>
      <c r="BK23" s="3279">
        <v>-309.02522506823539</v>
      </c>
      <c r="BL23" s="3279">
        <v>-331.93032506823533</v>
      </c>
      <c r="BM23" s="3279">
        <v>-609.61357462380988</v>
      </c>
      <c r="BN23" s="3279">
        <v>-662.92906581351303</v>
      </c>
      <c r="BO23" s="3279">
        <v>-716.24455700321619</v>
      </c>
      <c r="BP23" s="3293">
        <v>-130.73321554894119</v>
      </c>
      <c r="BQ23" s="3293">
        <v>-397.58068459262932</v>
      </c>
      <c r="BR23" s="3279">
        <v>-472.18951998729409</v>
      </c>
      <c r="BS23" s="3279">
        <v>-506.90286155557646</v>
      </c>
      <c r="BT23" s="3279">
        <v>-541.6162031238589</v>
      </c>
      <c r="BU23" s="3279">
        <v>-1113.8688904733208</v>
      </c>
      <c r="BV23" s="3279">
        <v>-1183.1038598960531</v>
      </c>
      <c r="BW23" s="3279">
        <v>-1266.8695490935104</v>
      </c>
      <c r="BX23" s="3279">
        <v>-780.34011464210084</v>
      </c>
      <c r="BY23" s="3279">
        <v>-873.22561893214288</v>
      </c>
      <c r="BZ23" s="3279">
        <v>-966.11112322218503</v>
      </c>
      <c r="CA23" s="3279">
        <v>-671.84042672508235</v>
      </c>
      <c r="CB23" s="3279">
        <v>-734.19527286164703</v>
      </c>
      <c r="CC23" s="3279">
        <v>-796.5501189982117</v>
      </c>
      <c r="CD23" s="3279">
        <v>-680.34367464210095</v>
      </c>
      <c r="CE23" s="3279">
        <v>-760.9802469321429</v>
      </c>
      <c r="CF23" s="3279">
        <v>-841.61681922218486</v>
      </c>
      <c r="CG23" s="3279">
        <v>-1047.6743651894499</v>
      </c>
      <c r="CH23" s="3279">
        <v>-1153.5256826544212</v>
      </c>
      <c r="CI23" s="3279">
        <v>-1229.627000119393</v>
      </c>
      <c r="CJ23" s="3279">
        <v>-680.34367464210095</v>
      </c>
      <c r="CK23" s="3279">
        <v>-760.9802469321429</v>
      </c>
      <c r="CL23" s="3279">
        <v>-841.61681922218486</v>
      </c>
      <c r="CM23" s="3279">
        <v>-858.80848759488526</v>
      </c>
      <c r="CN23" s="3279">
        <v>-927.94086388492724</v>
      </c>
      <c r="CO23" s="3279">
        <v>-997.07324017496933</v>
      </c>
    </row>
    <row r="24" spans="2:93" ht="16.5" x14ac:dyDescent="0.2">
      <c r="B24" s="3294" t="s">
        <v>1402</v>
      </c>
      <c r="C24" s="3295"/>
      <c r="D24" s="3276" t="s">
        <v>1058</v>
      </c>
      <c r="E24" s="3278">
        <v>510</v>
      </c>
      <c r="F24" s="3278">
        <v>330</v>
      </c>
      <c r="G24" s="3279">
        <v>313</v>
      </c>
      <c r="H24" s="3735">
        <v>360</v>
      </c>
      <c r="I24" s="3736">
        <v>330</v>
      </c>
      <c r="J24" s="3736">
        <v>330</v>
      </c>
      <c r="K24" s="3737">
        <v>313</v>
      </c>
      <c r="L24" s="3738">
        <v>330</v>
      </c>
      <c r="M24">
        <v>510</v>
      </c>
      <c r="N24">
        <v>480</v>
      </c>
      <c r="O24" s="3299">
        <v>330</v>
      </c>
      <c r="P24" s="3620">
        <v>510</v>
      </c>
      <c r="Q24" s="3615">
        <v>480</v>
      </c>
      <c r="R24" s="3621">
        <v>480</v>
      </c>
      <c r="S24" s="3727">
        <v>360</v>
      </c>
      <c r="T24" s="3729">
        <v>330</v>
      </c>
      <c r="U24">
        <v>313</v>
      </c>
      <c r="V24">
        <v>360</v>
      </c>
      <c r="W24">
        <v>330</v>
      </c>
      <c r="X24">
        <v>313</v>
      </c>
      <c r="Y24" s="3296">
        <v>360</v>
      </c>
      <c r="Z24" s="3298">
        <v>330</v>
      </c>
      <c r="AA24" s="3300">
        <v>313</v>
      </c>
      <c r="AB24">
        <v>360</v>
      </c>
      <c r="AC24" s="3620">
        <v>330</v>
      </c>
      <c r="AD24" s="3621">
        <v>313</v>
      </c>
      <c r="AE24" s="3198"/>
      <c r="AF24" s="3296">
        <v>340</v>
      </c>
      <c r="AG24" s="3297">
        <v>340</v>
      </c>
      <c r="AH24" s="3301">
        <v>340</v>
      </c>
      <c r="AI24">
        <v>270</v>
      </c>
      <c r="AJ24">
        <v>270</v>
      </c>
      <c r="AK24">
        <v>270</v>
      </c>
      <c r="AL24" s="3302">
        <v>0</v>
      </c>
      <c r="AM24" s="3303">
        <v>0</v>
      </c>
      <c r="AN24" s="3304">
        <v>0</v>
      </c>
      <c r="AO24">
        <v>270</v>
      </c>
      <c r="AP24">
        <v>270</v>
      </c>
      <c r="AQ24">
        <v>270</v>
      </c>
      <c r="AR24" s="3297">
        <v>270</v>
      </c>
      <c r="AS24" s="3297">
        <v>270</v>
      </c>
      <c r="AT24" s="3301">
        <v>270</v>
      </c>
      <c r="AU24">
        <v>270</v>
      </c>
      <c r="AV24">
        <v>270</v>
      </c>
      <c r="AW24">
        <v>270</v>
      </c>
      <c r="AX24" s="3296">
        <v>270</v>
      </c>
      <c r="AY24" s="3297">
        <v>270</v>
      </c>
      <c r="AZ24" s="3301">
        <v>270</v>
      </c>
      <c r="BA24" s="3297">
        <v>270</v>
      </c>
      <c r="BB24" s="3297">
        <v>270</v>
      </c>
      <c r="BC24" s="3301">
        <v>270</v>
      </c>
      <c r="BD24" s="3297">
        <v>270</v>
      </c>
      <c r="BE24" s="3297">
        <v>270</v>
      </c>
      <c r="BF24" s="3301">
        <v>270</v>
      </c>
      <c r="BG24" s="3297">
        <v>270</v>
      </c>
      <c r="BH24" s="3297">
        <v>270</v>
      </c>
      <c r="BI24" s="3301">
        <v>270</v>
      </c>
      <c r="BJ24" s="3301">
        <v>360</v>
      </c>
      <c r="BK24" s="3301">
        <v>330</v>
      </c>
      <c r="BL24" s="3301">
        <v>313</v>
      </c>
      <c r="BM24" s="3301">
        <v>360</v>
      </c>
      <c r="BN24" s="3301">
        <v>330</v>
      </c>
      <c r="BO24" s="3301">
        <v>313</v>
      </c>
      <c r="BP24" s="3299">
        <v>313</v>
      </c>
      <c r="BQ24" s="3299">
        <v>313</v>
      </c>
      <c r="BR24" s="3301">
        <v>0</v>
      </c>
      <c r="BS24" s="3301">
        <v>0</v>
      </c>
      <c r="BT24" s="3301">
        <v>0</v>
      </c>
      <c r="BU24" s="3301">
        <v>270</v>
      </c>
      <c r="BV24" s="3301">
        <v>270</v>
      </c>
      <c r="BW24" s="3301">
        <v>270</v>
      </c>
      <c r="BX24" s="3301">
        <v>270</v>
      </c>
      <c r="BY24" s="3301">
        <v>270</v>
      </c>
      <c r="BZ24" s="3301">
        <v>270</v>
      </c>
      <c r="CA24" s="3301">
        <v>270</v>
      </c>
      <c r="CB24" s="3301">
        <v>270</v>
      </c>
      <c r="CC24" s="3301">
        <v>270</v>
      </c>
      <c r="CD24" s="3301">
        <v>270</v>
      </c>
      <c r="CE24" s="3301">
        <v>270</v>
      </c>
      <c r="CF24" s="3301">
        <v>270</v>
      </c>
      <c r="CG24" s="3301">
        <v>270</v>
      </c>
      <c r="CH24" s="3301">
        <v>270</v>
      </c>
      <c r="CI24" s="3301">
        <v>270</v>
      </c>
      <c r="CJ24" s="3301">
        <v>270</v>
      </c>
      <c r="CK24" s="3301">
        <v>270</v>
      </c>
      <c r="CL24" s="3301">
        <v>270</v>
      </c>
      <c r="CM24" s="3301">
        <v>270</v>
      </c>
      <c r="CN24" s="3301">
        <v>270</v>
      </c>
      <c r="CO24" s="3301">
        <v>270</v>
      </c>
    </row>
    <row r="25" spans="2:93" ht="16.5" x14ac:dyDescent="0.2">
      <c r="B25" s="3305" t="s">
        <v>1403</v>
      </c>
      <c r="C25" s="3306"/>
      <c r="D25" s="3307" t="s">
        <v>1058</v>
      </c>
      <c r="E25" s="3308">
        <v>3.2820459166235292</v>
      </c>
      <c r="F25" s="3309">
        <v>3.8061606770401961</v>
      </c>
      <c r="G25" s="3310">
        <v>6.3516658826960786</v>
      </c>
      <c r="H25" s="3739">
        <v>4.0483229068678996</v>
      </c>
      <c r="I25" s="3740">
        <v>6.0206895621627448</v>
      </c>
      <c r="J25" s="3740">
        <v>4.2063681457754116</v>
      </c>
      <c r="K25" s="3741">
        <v>6.9391306134358324</v>
      </c>
      <c r="L25" s="3742">
        <v>7.2014432299162454</v>
      </c>
      <c r="M25">
        <v>3.4656011075389181</v>
      </c>
      <c r="N25">
        <v>4.9037898163693061</v>
      </c>
      <c r="O25" s="3313">
        <v>21.247664470222222</v>
      </c>
      <c r="P25" s="3622">
        <v>2.151031867607843</v>
      </c>
      <c r="Q25" s="3623">
        <v>3.9956306743921566</v>
      </c>
      <c r="R25" s="3624">
        <v>4.2756827577254901</v>
      </c>
      <c r="S25" s="3739">
        <v>4.4485804498394597</v>
      </c>
      <c r="T25" s="3741">
        <v>5.0308427662457111</v>
      </c>
      <c r="U25">
        <v>5.6131050826519608</v>
      </c>
      <c r="V25" s="3623">
        <v>4.718580449839461</v>
      </c>
      <c r="W25" s="3622">
        <v>5.5715968717144611</v>
      </c>
      <c r="X25">
        <v>6.5664295758811262</v>
      </c>
      <c r="Y25" s="3311">
        <v>5.3676243731030304</v>
      </c>
      <c r="Z25" s="3309">
        <v>6.2622913448895439</v>
      </c>
      <c r="AA25" s="3310">
        <v>7.1569583166760582</v>
      </c>
      <c r="AB25">
        <v>6.0058327074268165</v>
      </c>
      <c r="AC25" s="3622">
        <v>6.6053624342122967</v>
      </c>
      <c r="AD25" s="3624">
        <v>7.3750027573703258</v>
      </c>
      <c r="AE25" s="3207"/>
      <c r="AF25" s="3311">
        <v>8.3508358893267989</v>
      </c>
      <c r="AG25" s="3309">
        <v>9.1050112813826516</v>
      </c>
      <c r="AH25" s="3310">
        <v>9.6955835622620334</v>
      </c>
      <c r="AI25" s="3623">
        <v>8.2723870432281643</v>
      </c>
      <c r="AJ25" s="3622">
        <v>9.1422571631694893</v>
      </c>
      <c r="AK25">
        <v>10.008943263110815</v>
      </c>
      <c r="AL25" s="3314">
        <v>1.7501719333333334</v>
      </c>
      <c r="AM25" s="3309">
        <v>1.9988545066666665</v>
      </c>
      <c r="AN25" s="3315">
        <v>2.2764329133333332</v>
      </c>
      <c r="AO25" s="3623">
        <v>5.873311813134559</v>
      </c>
      <c r="AP25" s="3622">
        <v>6.6976616131471811</v>
      </c>
      <c r="AQ25" s="3624">
        <v>7.2725585964931376</v>
      </c>
      <c r="AR25" s="3312">
        <v>7.4424942878480396</v>
      </c>
      <c r="AS25" s="3309">
        <v>7.9823800968321077</v>
      </c>
      <c r="AT25" s="3310">
        <v>8.5222659058161767</v>
      </c>
      <c r="AU25" s="3623">
        <v>7.9508243533991605</v>
      </c>
      <c r="AV25" s="3622">
        <v>8.5921321150473844</v>
      </c>
      <c r="AW25" s="3624">
        <v>9.2334398766956109</v>
      </c>
      <c r="AX25" s="3311">
        <v>4.2342827333083779</v>
      </c>
      <c r="AY25" s="3309">
        <v>4.5543095787629246</v>
      </c>
      <c r="AZ25" s="3310">
        <v>4.8743364242174705</v>
      </c>
      <c r="BA25" s="3312">
        <v>6.3620640263600716</v>
      </c>
      <c r="BB25" s="3309">
        <v>6.9430151004598937</v>
      </c>
      <c r="BC25" s="3310">
        <v>7.5222583637950091</v>
      </c>
      <c r="BD25" s="3312">
        <v>2.9957436139607849</v>
      </c>
      <c r="BE25" s="3309">
        <v>3.5096616139607839</v>
      </c>
      <c r="BF25" s="3310">
        <v>3.7756629472941174</v>
      </c>
      <c r="BG25" s="3312">
        <v>4.8756074870728296</v>
      </c>
      <c r="BH25" s="3309">
        <v>5.4488315950285706</v>
      </c>
      <c r="BI25" s="3310">
        <v>5.9866390363176469</v>
      </c>
      <c r="BJ25" s="3315">
        <v>2.3843343755686273</v>
      </c>
      <c r="BK25" s="3310">
        <v>2.5752102089019617</v>
      </c>
      <c r="BL25" s="3310">
        <v>2.7660860422352944</v>
      </c>
      <c r="BM25" s="3310">
        <v>5.0801131218650815</v>
      </c>
      <c r="BN25" s="3310">
        <v>5.5244088817792765</v>
      </c>
      <c r="BO25" s="3310">
        <v>5.968704641693467</v>
      </c>
      <c r="BP25" s="3313">
        <v>1.0894434629078433</v>
      </c>
      <c r="BQ25" s="3313">
        <v>3.3131723716052441</v>
      </c>
      <c r="BR25" s="3310">
        <v>3.9349126665607836</v>
      </c>
      <c r="BS25" s="3310">
        <v>4.224190512963137</v>
      </c>
      <c r="BT25" s="3310">
        <v>4.5134683593654907</v>
      </c>
      <c r="BU25" s="3310">
        <v>9.2822407539443397</v>
      </c>
      <c r="BV25" s="3310">
        <v>9.8591988324671096</v>
      </c>
      <c r="BW25" s="3310">
        <v>10.55724624244592</v>
      </c>
      <c r="BX25" s="3310">
        <v>6.5028342886841743</v>
      </c>
      <c r="BY25" s="3310">
        <v>7.2768801577678586</v>
      </c>
      <c r="BZ25" s="3310">
        <v>8.0509260268515419</v>
      </c>
      <c r="CA25" s="3310">
        <v>5.5986702227090204</v>
      </c>
      <c r="CB25" s="3310">
        <v>6.118293940513726</v>
      </c>
      <c r="CC25" s="3310">
        <v>6.6379176583184298</v>
      </c>
      <c r="CD25" s="3310">
        <v>5.6695306220175086</v>
      </c>
      <c r="CE25" s="3310">
        <v>6.3415020577678582</v>
      </c>
      <c r="CF25" s="3310">
        <v>7.0134734935182079</v>
      </c>
      <c r="CG25" s="3310">
        <v>8.7306197099120837</v>
      </c>
      <c r="CH25" s="3310">
        <v>9.6127140221201763</v>
      </c>
      <c r="CI25" s="3310">
        <v>10.246891667661609</v>
      </c>
      <c r="CJ25" s="3310">
        <v>5.6695306220175086</v>
      </c>
      <c r="CK25" s="3310">
        <v>6.3415020577678582</v>
      </c>
      <c r="CL25" s="3310">
        <v>7.0134734935182079</v>
      </c>
      <c r="CM25" s="3310">
        <v>7.1567373966240435</v>
      </c>
      <c r="CN25" s="3310">
        <v>7.7328405323743938</v>
      </c>
      <c r="CO25" s="3310">
        <v>8.3089436681247442</v>
      </c>
    </row>
    <row r="26" spans="2:93" ht="18" x14ac:dyDescent="0.2">
      <c r="B26" s="3316" t="s">
        <v>1404</v>
      </c>
      <c r="C26" s="3317"/>
      <c r="D26" s="3318" t="s">
        <v>1058</v>
      </c>
      <c r="E26" s="3319">
        <v>112.87244408855292</v>
      </c>
      <c r="F26" s="3320">
        <v>-130.54544192186373</v>
      </c>
      <c r="G26" s="3321">
        <v>-455.55157180622547</v>
      </c>
      <c r="H26" s="3743">
        <v>-129.84707173101589</v>
      </c>
      <c r="I26" s="3744">
        <v>-398.50343702169215</v>
      </c>
      <c r="J26" s="3744">
        <v>-178.97054563882477</v>
      </c>
      <c r="K26" s="3745">
        <v>-526.63480422573571</v>
      </c>
      <c r="L26" s="3746">
        <v>-541.37463081986573</v>
      </c>
      <c r="M26">
        <v>90.662265987790946</v>
      </c>
      <c r="N26">
        <v>-113.358567780686</v>
      </c>
      <c r="O26" s="3324">
        <v>-2240.9674008968891</v>
      </c>
      <c r="P26" s="3625">
        <v>249.72514401945097</v>
      </c>
      <c r="Q26" s="3626">
        <v>-3.4713116014509744</v>
      </c>
      <c r="R26" s="3627">
        <v>-37.357613684784297</v>
      </c>
      <c r="S26" s="3743">
        <v>-178.27823443057466</v>
      </c>
      <c r="T26" s="3745">
        <v>-278.73197471573104</v>
      </c>
      <c r="U26">
        <v>-366.18571500088728</v>
      </c>
      <c r="V26" s="3626">
        <v>-210.94823443057476</v>
      </c>
      <c r="W26" s="3625">
        <v>-344.16322147744978</v>
      </c>
      <c r="X26">
        <v>-481.53797868161632</v>
      </c>
      <c r="Y26" s="3322">
        <v>-289.48254914546669</v>
      </c>
      <c r="Z26" s="3320">
        <v>-427.73725273163478</v>
      </c>
      <c r="AA26" s="3321">
        <v>-552.99195631780299</v>
      </c>
      <c r="AB26">
        <v>-366.70575759864477</v>
      </c>
      <c r="AC26" s="3625">
        <v>-469.2488545396879</v>
      </c>
      <c r="AD26" s="3627">
        <v>-579.37533364180945</v>
      </c>
      <c r="AE26" s="3325"/>
      <c r="AF26" s="3322">
        <v>-670.45114260854268</v>
      </c>
      <c r="AG26" s="3320">
        <v>-761.70636504730089</v>
      </c>
      <c r="AH26" s="3321">
        <v>-833.165611033706</v>
      </c>
      <c r="AI26" s="3626">
        <v>-730.95883223060787</v>
      </c>
      <c r="AJ26" s="3625">
        <v>-836.21311674350818</v>
      </c>
      <c r="AK26">
        <v>-941.08213483640873</v>
      </c>
      <c r="AL26" s="3326">
        <v>-211.77080393333333</v>
      </c>
      <c r="AM26" s="3320">
        <v>-241.86139530666665</v>
      </c>
      <c r="AN26" s="3327">
        <v>-275.44838251333334</v>
      </c>
      <c r="AO26" s="3626">
        <v>-440.67072938928158</v>
      </c>
      <c r="AP26" s="3625">
        <v>-540.41705519080892</v>
      </c>
      <c r="AQ26" s="3627">
        <v>-609.97959017566961</v>
      </c>
      <c r="AR26" s="3323">
        <v>-630.54180882961282</v>
      </c>
      <c r="AS26" s="3320">
        <v>-695.86799171668508</v>
      </c>
      <c r="AT26" s="3321">
        <v>-761.19417460375735</v>
      </c>
      <c r="AU26" s="3626">
        <v>-692.04974676129837</v>
      </c>
      <c r="AV26" s="3625">
        <v>-769.64798592073362</v>
      </c>
      <c r="AW26" s="3627">
        <v>-847.24622508016898</v>
      </c>
      <c r="AX26" s="3322">
        <v>-242.34821073031375</v>
      </c>
      <c r="AY26" s="3320">
        <v>-281.07145903031386</v>
      </c>
      <c r="AZ26" s="3321">
        <v>-319.79470733031388</v>
      </c>
      <c r="BA26" s="3323">
        <v>-499.80974718956867</v>
      </c>
      <c r="BB26" s="3320">
        <v>-570.10482715564717</v>
      </c>
      <c r="BC26" s="3321">
        <v>-640.19326201919625</v>
      </c>
      <c r="BD26" s="3323">
        <v>-92.484977289254928</v>
      </c>
      <c r="BE26" s="3320">
        <v>-154.66905528925483</v>
      </c>
      <c r="BF26" s="3321">
        <v>-186.85521662258827</v>
      </c>
      <c r="BG26" s="3323">
        <v>-319.94850593581242</v>
      </c>
      <c r="BH26" s="3320">
        <v>-389.30862299845711</v>
      </c>
      <c r="BI26" s="3321">
        <v>-454.38332339443531</v>
      </c>
      <c r="BJ26" s="3327">
        <v>71.495540556196104</v>
      </c>
      <c r="BK26" s="3321">
        <v>18.399564722862653</v>
      </c>
      <c r="BL26" s="3321">
        <v>-21.696411110470628</v>
      </c>
      <c r="BM26" s="3321">
        <v>-254.69368774567496</v>
      </c>
      <c r="BN26" s="3321">
        <v>-338.4534746952923</v>
      </c>
      <c r="BO26" s="3321">
        <v>-409.21326164490966</v>
      </c>
      <c r="BP26" s="3324">
        <v>181.17734098815097</v>
      </c>
      <c r="BQ26" s="3324">
        <v>-87.893856964234573</v>
      </c>
      <c r="BR26" s="3321">
        <v>-476.12443265385485</v>
      </c>
      <c r="BS26" s="3321">
        <v>-511.12705206853963</v>
      </c>
      <c r="BT26" s="3321">
        <v>-546.12967148322434</v>
      </c>
      <c r="BU26" s="3321">
        <v>-853.15113122726518</v>
      </c>
      <c r="BV26" s="3321">
        <v>-922.9630587285202</v>
      </c>
      <c r="BW26" s="3321">
        <v>-1007.4267953359563</v>
      </c>
      <c r="BX26" s="3321">
        <v>-516.84294893078504</v>
      </c>
      <c r="BY26" s="3321">
        <v>-610.50249908991077</v>
      </c>
      <c r="BZ26" s="3321">
        <v>-704.16204924903661</v>
      </c>
      <c r="CA26" s="3321">
        <v>-407.43909694779137</v>
      </c>
      <c r="CB26" s="3321">
        <v>-470.31356680216078</v>
      </c>
      <c r="CC26" s="3321">
        <v>-533.18803665653013</v>
      </c>
      <c r="CD26" s="3321">
        <v>-416.01320526411848</v>
      </c>
      <c r="CE26" s="3321">
        <v>-497.32174898991076</v>
      </c>
      <c r="CF26" s="3321">
        <v>-578.63029271570304</v>
      </c>
      <c r="CG26" s="3321">
        <v>-786.40498489936192</v>
      </c>
      <c r="CH26" s="3321">
        <v>-893.13839667654133</v>
      </c>
      <c r="CI26" s="3321">
        <v>-969.87389178705462</v>
      </c>
      <c r="CJ26" s="3321">
        <v>-416.01320526411848</v>
      </c>
      <c r="CK26" s="3321">
        <v>-497.32174898991076</v>
      </c>
      <c r="CL26" s="3321">
        <v>-578.63029271570304</v>
      </c>
      <c r="CM26" s="3321">
        <v>-595.96522499150933</v>
      </c>
      <c r="CN26" s="3321">
        <v>-665.67370441730168</v>
      </c>
      <c r="CO26" s="3321">
        <v>-735.38218384309403</v>
      </c>
    </row>
    <row r="27" spans="2:93" ht="18" x14ac:dyDescent="0.2">
      <c r="B27" s="3328"/>
      <c r="C27" s="3329"/>
      <c r="D27" s="3212" t="s">
        <v>1405</v>
      </c>
      <c r="E27" s="3330">
        <v>2.8148092641692022E-2</v>
      </c>
      <c r="F27" s="3331">
        <v>-2.9889343046132333E-2</v>
      </c>
      <c r="G27" s="3332">
        <v>-7.0425608800461545E-2</v>
      </c>
      <c r="H27" s="3747">
        <v>-3.7160292032111651E-2</v>
      </c>
      <c r="I27" s="3748">
        <v>-0.10315628645016126</v>
      </c>
      <c r="J27" s="3748">
        <v>-4.6328174758139683E-2</v>
      </c>
      <c r="K27" s="3749">
        <v>-9.0014780562149371E-2</v>
      </c>
      <c r="L27" s="3750">
        <v>-0.13966070090174651</v>
      </c>
      <c r="M27">
        <v>3.5345912665805439E-2</v>
      </c>
      <c r="N27">
        <v>-3.1995926446172829E-2</v>
      </c>
      <c r="O27" s="3335">
        <v>-0.32890589146342342</v>
      </c>
      <c r="P27" s="3628">
        <v>9.5989062123097699E-2</v>
      </c>
      <c r="Q27" s="3629">
        <v>-7.788798244145966E-4</v>
      </c>
      <c r="R27" s="3630">
        <v>-7.4738770082144468E-3</v>
      </c>
      <c r="S27" s="3747">
        <v>-3.4182386047469017E-2</v>
      </c>
      <c r="T27" s="3749">
        <v>-4.580828706450242E-2</v>
      </c>
      <c r="U27">
        <v>-5.2658285159747957E-2</v>
      </c>
      <c r="V27" s="3629">
        <v>-3.9162393842119142E-2</v>
      </c>
      <c r="W27" s="3628">
        <v>-5.2276634233682659E-2</v>
      </c>
      <c r="X27" s="3634">
        <v>-6.0614274219454999E-2</v>
      </c>
      <c r="Y27" s="3333">
        <v>-5.9682016723407519E-2</v>
      </c>
      <c r="Z27" s="3331">
        <v>-7.2151938162830359E-2</v>
      </c>
      <c r="AA27" s="3332">
        <v>-7.8929449365279958E-2</v>
      </c>
      <c r="AB27">
        <v>-7.9513463648941698E-2</v>
      </c>
      <c r="AC27" s="3628">
        <v>-8.3248417884072487E-2</v>
      </c>
      <c r="AD27" s="3630">
        <v>-8.6972529627582826E-2</v>
      </c>
      <c r="AE27" s="3336"/>
      <c r="AF27" s="3333">
        <v>-0.10024688137089452</v>
      </c>
      <c r="AG27" s="3331">
        <v>-9.4887121151952775E-2</v>
      </c>
      <c r="AH27" s="3332">
        <v>-8.9950403350467584E-2</v>
      </c>
      <c r="AI27" s="3629">
        <v>-0.10065807819419537</v>
      </c>
      <c r="AJ27" s="3628">
        <v>-9.3854555414904048E-2</v>
      </c>
      <c r="AK27">
        <v>-9.0091743380262018E-2</v>
      </c>
      <c r="AL27" s="3337">
        <v>-0.14153437188526871</v>
      </c>
      <c r="AM27" s="3331">
        <v>-0.12628518969646338</v>
      </c>
      <c r="AN27" s="3338">
        <v>-0.11505780389028127</v>
      </c>
      <c r="AO27" s="3629">
        <v>-9.0676347969530044E-2</v>
      </c>
      <c r="AP27" s="3628">
        <v>-9.3699668609574599E-2</v>
      </c>
      <c r="AQ27" s="3630">
        <v>-9.2540611543336176E-2</v>
      </c>
      <c r="AR27" s="3334">
        <v>-9.1523472120883215E-2</v>
      </c>
      <c r="AS27" s="3331">
        <v>-8.7830957919814434E-2</v>
      </c>
      <c r="AT27" s="3332">
        <v>-8.4990562380530765E-2</v>
      </c>
      <c r="AU27" s="3629">
        <v>-0.10196710865365918</v>
      </c>
      <c r="AV27" s="3628">
        <v>-9.7200419279583908E-2</v>
      </c>
      <c r="AW27" s="3630">
        <v>-9.3625402249027448E-2</v>
      </c>
      <c r="AX27" s="3333">
        <v>-6.778895081742127E-2</v>
      </c>
      <c r="AY27" s="3331">
        <v>-6.2896405977066291E-2</v>
      </c>
      <c r="AZ27" s="3332">
        <v>-5.963470941682962E-2</v>
      </c>
      <c r="BA27" s="3334">
        <v>-0.13980535803503419</v>
      </c>
      <c r="BB27" s="3331">
        <v>-0.12757447797074095</v>
      </c>
      <c r="BC27" s="3332">
        <v>-0.11938202314178233</v>
      </c>
      <c r="BD27" s="3334">
        <v>-3.3113131861530587E-2</v>
      </c>
      <c r="BE27" s="3331">
        <v>-4.6147826497569766E-2</v>
      </c>
      <c r="BF27" s="3332">
        <v>-4.7786613631678243E-2</v>
      </c>
      <c r="BG27" s="3334">
        <v>-0.11455370781804956</v>
      </c>
      <c r="BH27" s="3331">
        <v>-0.11615605173602372</v>
      </c>
      <c r="BI27" s="3332">
        <v>-0.1162046246725066</v>
      </c>
      <c r="BJ27" s="3338">
        <v>3.1005011223731851E-2</v>
      </c>
      <c r="BK27" s="3332">
        <v>6.5284534554121455E-3</v>
      </c>
      <c r="BL27" s="3332">
        <v>-6.5138836555448856E-3</v>
      </c>
      <c r="BM27" s="3332">
        <v>-9.9406236069580239E-2</v>
      </c>
      <c r="BN27" s="3332">
        <v>-0.11008120611442614</v>
      </c>
      <c r="BO27" s="3332">
        <v>-0.11408199632699928</v>
      </c>
      <c r="BP27" s="3335">
        <v>9.4284014590949511E-2</v>
      </c>
      <c r="BQ27" s="3335">
        <v>-4.573963635448592E-2</v>
      </c>
      <c r="BR27" s="3332">
        <v>-0.37166007661835171</v>
      </c>
      <c r="BS27" s="3332">
        <v>-0.33248577175974581</v>
      </c>
      <c r="BT27" s="3332">
        <v>-0.3045041254321702</v>
      </c>
      <c r="BU27" s="3332">
        <v>-0.19111808495234436</v>
      </c>
      <c r="BV27" s="3332">
        <v>-0.18327486546302488</v>
      </c>
      <c r="BW27" s="3332">
        <v>-0.17276788176089525</v>
      </c>
      <c r="BX27" s="3332">
        <v>-0.20892673172074747</v>
      </c>
      <c r="BY27" s="3332">
        <v>-0.18983640835647145</v>
      </c>
      <c r="BZ27" s="3332">
        <v>-0.17790495625379896</v>
      </c>
      <c r="CA27" s="3332">
        <v>-0.2135022202036258</v>
      </c>
      <c r="CB27" s="3332">
        <v>-0.19715926420682087</v>
      </c>
      <c r="CC27" s="3332">
        <v>-0.18626396020895084</v>
      </c>
      <c r="CD27" s="3332">
        <v>-0.16816767938560859</v>
      </c>
      <c r="CE27" s="3332">
        <v>-0.15464273244833882</v>
      </c>
      <c r="CF27" s="3332">
        <v>-0.14618964061254522</v>
      </c>
      <c r="CG27" s="3332">
        <v>-0.17051759587745577</v>
      </c>
      <c r="CH27" s="3332">
        <v>-0.1742947127757043</v>
      </c>
      <c r="CI27" s="3332">
        <v>-0.1720632160467247</v>
      </c>
      <c r="CJ27" s="3332">
        <v>-0.16816767938560859</v>
      </c>
      <c r="CK27" s="3332">
        <v>-0.15464273244833882</v>
      </c>
      <c r="CL27" s="3332">
        <v>-0.14618964061254522</v>
      </c>
      <c r="CM27" s="3332">
        <v>-0.30203746546968518</v>
      </c>
      <c r="CN27" s="3332">
        <v>-0.25951230048684421</v>
      </c>
      <c r="CO27" s="3332">
        <v>-0.23293407237256858</v>
      </c>
    </row>
    <row r="28" spans="2:93" ht="18.75" thickBot="1" x14ac:dyDescent="0.25">
      <c r="B28" s="3339"/>
      <c r="C28" s="3340"/>
      <c r="D28" s="3341" t="s">
        <v>1406</v>
      </c>
      <c r="E28" s="3342">
        <v>1.6888855585015215E-2</v>
      </c>
      <c r="F28" s="3343">
        <v>-1.7933605827679399E-2</v>
      </c>
      <c r="G28" s="3344">
        <v>-4.2255365280276923E-2</v>
      </c>
      <c r="H28" s="3751">
        <v>-2.2296175219266984E-2</v>
      </c>
      <c r="I28" s="3752">
        <v>-6.1893771870096752E-2</v>
      </c>
      <c r="J28" s="3752">
        <v>-2.779690485488381E-2</v>
      </c>
      <c r="K28" s="3753">
        <v>-5.4008868337289621E-2</v>
      </c>
      <c r="L28" s="3754">
        <v>-8.3796420541047911E-2</v>
      </c>
      <c r="M28">
        <v>2.1207547599483258E-2</v>
      </c>
      <c r="N28">
        <v>-1.9197555867703699E-2</v>
      </c>
      <c r="O28" s="3347">
        <v>-0.19734353487805406</v>
      </c>
      <c r="P28" s="3631">
        <v>5.7593437273858621E-2</v>
      </c>
      <c r="Q28" s="3632">
        <v>-4.6732789464875798E-4</v>
      </c>
      <c r="R28" s="3633">
        <v>-4.4843262049286689E-3</v>
      </c>
      <c r="S28" s="3751">
        <v>-2.0509431628481411E-2</v>
      </c>
      <c r="T28" s="3753">
        <v>-2.7484972238701451E-2</v>
      </c>
      <c r="U28">
        <v>-3.1594971095848773E-2</v>
      </c>
      <c r="V28" s="3632">
        <v>-2.3497436305271485E-2</v>
      </c>
      <c r="W28" s="3631">
        <v>-3.1365980540209594E-2</v>
      </c>
      <c r="X28">
        <v>-3.6368564531672996E-2</v>
      </c>
      <c r="Y28" s="3345">
        <v>-3.5809210034044511E-2</v>
      </c>
      <c r="Z28" s="3343">
        <v>-4.3291162897698215E-2</v>
      </c>
      <c r="AA28" s="3344">
        <v>-4.7357669619167979E-2</v>
      </c>
      <c r="AB28">
        <v>-4.7708078189365025E-2</v>
      </c>
      <c r="AC28" s="3631">
        <v>-4.9949050730443492E-2</v>
      </c>
      <c r="AD28" s="3633">
        <v>-5.2183517776549705E-2</v>
      </c>
      <c r="AE28" s="3336"/>
      <c r="AF28" s="3345">
        <v>-6.0148128822536714E-2</v>
      </c>
      <c r="AG28" s="3343">
        <v>-5.6932272691171661E-2</v>
      </c>
      <c r="AH28" s="3344">
        <v>-5.3970242010280549E-2</v>
      </c>
      <c r="AI28" s="3632">
        <v>-6.0394846916517218E-2</v>
      </c>
      <c r="AJ28" s="3631">
        <v>-5.6312733248942426E-2</v>
      </c>
      <c r="AK28">
        <v>-5.4055046028157215E-2</v>
      </c>
      <c r="AL28" s="3348">
        <v>-8.4920623131161235E-2</v>
      </c>
      <c r="AM28" s="3343">
        <v>-7.577111381787803E-2</v>
      </c>
      <c r="AN28" s="3349">
        <v>-6.9034682334168762E-2</v>
      </c>
      <c r="AO28" s="3632">
        <v>-5.4405808781718031E-2</v>
      </c>
      <c r="AP28" s="3631">
        <v>-5.6219801165744751E-2</v>
      </c>
      <c r="AQ28" s="3633">
        <v>-5.5524366926001704E-2</v>
      </c>
      <c r="AR28" s="3346">
        <v>-5.4914083272529925E-2</v>
      </c>
      <c r="AS28" s="3343">
        <v>-5.269857475188866E-2</v>
      </c>
      <c r="AT28" s="3344">
        <v>-5.0994337428318465E-2</v>
      </c>
      <c r="AU28" s="3632">
        <v>-6.1180265192195507E-2</v>
      </c>
      <c r="AV28" s="3631">
        <v>-5.8320251567750343E-2</v>
      </c>
      <c r="AW28" s="3633">
        <v>-5.6175241349416462E-2</v>
      </c>
      <c r="AX28" s="3345">
        <v>-1.8830264115950355</v>
      </c>
      <c r="AY28" s="3343">
        <v>-1.7471223882518414</v>
      </c>
      <c r="AZ28" s="3344">
        <v>-1.6565197060230452</v>
      </c>
      <c r="BA28" s="3346">
        <v>-3.8834821676398392</v>
      </c>
      <c r="BB28" s="3343">
        <v>-3.5437354991872487</v>
      </c>
      <c r="BC28" s="3344">
        <v>-3.3161673094939537</v>
      </c>
      <c r="BD28" s="3346">
        <v>-0.91980921837584984</v>
      </c>
      <c r="BE28" s="3343">
        <v>-1.281884069376938</v>
      </c>
      <c r="BF28" s="3344">
        <v>-1.3274059342132849</v>
      </c>
      <c r="BG28" s="3346">
        <v>-3.1820474393902662</v>
      </c>
      <c r="BH28" s="3343">
        <v>-3.2265569926673261</v>
      </c>
      <c r="BI28" s="3344">
        <v>-3.2279062409029615</v>
      </c>
      <c r="BJ28" s="3349">
        <v>0.86125031177032929</v>
      </c>
      <c r="BK28" s="3344">
        <v>0.18134592931700408</v>
      </c>
      <c r="BL28" s="3344">
        <v>-0.18094121265402463</v>
      </c>
      <c r="BM28" s="3344">
        <v>-2.7612843352661178</v>
      </c>
      <c r="BN28" s="3344">
        <v>-3.0578112809562819</v>
      </c>
      <c r="BO28" s="3344">
        <v>-3.1689443424166472</v>
      </c>
      <c r="BP28" s="3347">
        <v>2.6190004053041536</v>
      </c>
      <c r="BQ28" s="3347">
        <v>-1.2705454542912757</v>
      </c>
      <c r="BR28" s="3344">
        <v>-10.323891017176438</v>
      </c>
      <c r="BS28" s="3344">
        <v>-9.2357158822151622</v>
      </c>
      <c r="BT28" s="3344">
        <v>-8.4584479286713954</v>
      </c>
      <c r="BU28" s="3344">
        <v>-5.3088356931206775</v>
      </c>
      <c r="BV28" s="3344">
        <v>-5.0909684850840247</v>
      </c>
      <c r="BW28" s="3344">
        <v>-4.799107826691535</v>
      </c>
      <c r="BX28" s="3344">
        <v>-5.8035203255763186</v>
      </c>
      <c r="BY28" s="3344">
        <v>-5.2732335654575397</v>
      </c>
      <c r="BZ28" s="3344">
        <v>-4.9418043403833041</v>
      </c>
      <c r="CA28" s="3344">
        <v>-5.9306172278784945</v>
      </c>
      <c r="CB28" s="3344">
        <v>-5.4766462279672457</v>
      </c>
      <c r="CC28" s="3344">
        <v>-5.1739988946930788</v>
      </c>
      <c r="CD28" s="3344">
        <v>-4.6713244273780159</v>
      </c>
      <c r="CE28" s="3344">
        <v>-4.2956314568983007</v>
      </c>
      <c r="CF28" s="3344">
        <v>-4.0608233503484783</v>
      </c>
      <c r="CG28" s="3344">
        <v>-4.7365998854848828</v>
      </c>
      <c r="CH28" s="3344">
        <v>-4.8415197993251198</v>
      </c>
      <c r="CI28" s="3344">
        <v>-4.7795337790756873</v>
      </c>
      <c r="CJ28" s="3344">
        <v>-4.6713244273780159</v>
      </c>
      <c r="CK28" s="3344">
        <v>-4.2956314568983007</v>
      </c>
      <c r="CL28" s="3344">
        <v>-4.0608233503484783</v>
      </c>
      <c r="CM28" s="3344">
        <v>-8.3899295963801439</v>
      </c>
      <c r="CN28" s="3344">
        <v>-7.2086750135234503</v>
      </c>
      <c r="CO28" s="3344">
        <v>-6.4703908992380157</v>
      </c>
    </row>
    <row r="29" spans="2:93" ht="18.75" thickBot="1" x14ac:dyDescent="0.25">
      <c r="B29" s="3350"/>
      <c r="C29" s="3351"/>
      <c r="D29" s="3352"/>
      <c r="E29" s="3353"/>
      <c r="F29" s="3353"/>
      <c r="G29" s="3354"/>
      <c r="H29" s="3747"/>
      <c r="I29" s="3750"/>
      <c r="J29" s="3750"/>
      <c r="K29" s="3748"/>
      <c r="L29" s="3750"/>
      <c r="O29" s="3353"/>
      <c r="P29" s="3629"/>
      <c r="Q29" s="3634"/>
      <c r="R29" s="3635"/>
      <c r="S29"/>
      <c r="T29" s="3750"/>
      <c r="U29" s="3750"/>
      <c r="V29" s="3634"/>
      <c r="W29" s="3634"/>
      <c r="X29" s="3634"/>
      <c r="Y29" s="3355"/>
      <c r="Z29" s="3357"/>
      <c r="AA29" s="3358"/>
      <c r="AB29"/>
      <c r="AC29" s="3628"/>
      <c r="AD29" s="3630"/>
      <c r="AE29" s="3336"/>
      <c r="AF29" s="3356"/>
      <c r="AG29" s="3353"/>
      <c r="AH29" s="3354"/>
      <c r="AI29" s="3634"/>
      <c r="AJ29" s="3634"/>
      <c r="AK29" s="3634"/>
      <c r="AL29" s="3353"/>
      <c r="AM29" s="3353"/>
      <c r="AN29" s="3353"/>
      <c r="AO29" s="3634"/>
      <c r="AP29" s="3634"/>
      <c r="AQ29" s="3635"/>
      <c r="AR29" s="3353"/>
      <c r="AS29" s="3353"/>
      <c r="AT29" s="3354"/>
      <c r="AU29" s="3634"/>
      <c r="AV29" s="3634"/>
      <c r="AW29" s="3635"/>
      <c r="AX29" s="3356"/>
      <c r="AY29" s="3353"/>
      <c r="AZ29" s="3354"/>
      <c r="BA29" s="3353"/>
      <c r="BB29" s="3353"/>
      <c r="BC29" s="3354"/>
      <c r="BD29" s="3353"/>
      <c r="BE29" s="3353"/>
      <c r="BF29" s="3354"/>
      <c r="BG29" s="3353"/>
      <c r="BH29" s="3353"/>
      <c r="BI29" s="3354"/>
      <c r="BJ29" s="3354"/>
      <c r="BK29" s="3354"/>
      <c r="BL29" s="3354"/>
      <c r="BM29" s="3354"/>
      <c r="BN29" s="3354"/>
      <c r="BO29" s="3354"/>
      <c r="BP29" s="3336"/>
      <c r="BQ29" s="3336"/>
      <c r="BR29" s="3354"/>
      <c r="BS29" s="3354"/>
      <c r="BT29" s="3354"/>
      <c r="BU29" s="3354"/>
      <c r="BV29" s="3354"/>
      <c r="BW29" s="3354"/>
      <c r="BX29" s="3354"/>
      <c r="BY29" s="3354"/>
      <c r="BZ29" s="3354"/>
      <c r="CA29" s="3354"/>
      <c r="CB29" s="3354"/>
      <c r="CC29" s="3354"/>
      <c r="CD29" s="3354"/>
      <c r="CE29" s="3354"/>
      <c r="CF29" s="3354"/>
      <c r="CG29" s="3354"/>
      <c r="CH29" s="3354"/>
      <c r="CI29" s="3354"/>
      <c r="CJ29" s="3354"/>
      <c r="CK29" s="3354"/>
      <c r="CL29" s="3354"/>
      <c r="CM29" s="3354"/>
      <c r="CN29" s="3354"/>
      <c r="CO29" s="3354"/>
    </row>
    <row r="30" spans="2:93" ht="16.5" x14ac:dyDescent="0.2">
      <c r="B30" s="3359" t="s">
        <v>1407</v>
      </c>
      <c r="C30" s="3360"/>
      <c r="D30" s="3361" t="s">
        <v>540</v>
      </c>
      <c r="E30" s="3362">
        <v>10.797866666666666</v>
      </c>
      <c r="F30" s="3363">
        <v>11.31245</v>
      </c>
      <c r="G30" s="3364">
        <v>15.730833333333329</v>
      </c>
      <c r="H30" s="3755">
        <v>13.651725974025974</v>
      </c>
      <c r="I30" s="3756">
        <v>7.877699999999999</v>
      </c>
      <c r="J30" s="3756">
        <v>14.064156400742116</v>
      </c>
      <c r="K30" s="3757">
        <v>19.621469387755102</v>
      </c>
      <c r="L30" s="3758">
        <v>11.0097</v>
      </c>
      <c r="M30">
        <v>10.699716542343133</v>
      </c>
      <c r="N30">
        <v>17.305845677928914</v>
      </c>
      <c r="O30" s="3367">
        <v>20.487599999999997</v>
      </c>
      <c r="P30" s="3636">
        <v>15.048</v>
      </c>
      <c r="Q30" s="3637">
        <v>16.488999999999997</v>
      </c>
      <c r="R30" s="3638">
        <v>19.789000000000001</v>
      </c>
      <c r="S30" s="3755">
        <v>15.0193125</v>
      </c>
      <c r="T30" s="3757">
        <v>16.756031249999999</v>
      </c>
      <c r="U30">
        <v>18.492750000000001</v>
      </c>
      <c r="V30" s="3637">
        <v>15.0193125</v>
      </c>
      <c r="W30" s="3636">
        <v>17.334937499999999</v>
      </c>
      <c r="X30">
        <v>19.967437499999999</v>
      </c>
      <c r="Y30" s="3365">
        <v>21.22067178276269</v>
      </c>
      <c r="Z30" s="3363">
        <v>23.561320346320343</v>
      </c>
      <c r="AA30" s="3364">
        <v>25.333378591105866</v>
      </c>
      <c r="AB30">
        <v>18.782404958677681</v>
      </c>
      <c r="AC30" s="3636">
        <v>20.478272727272724</v>
      </c>
      <c r="AD30" s="3638">
        <v>23.228966942148759</v>
      </c>
      <c r="AE30" s="3368"/>
      <c r="AF30" s="3365">
        <v>15.918000000000001</v>
      </c>
      <c r="AG30" s="3363">
        <v>17.218363636363637</v>
      </c>
      <c r="AH30" s="3364">
        <v>16.358727272727275</v>
      </c>
      <c r="AI30" s="3637">
        <v>13.874072727272727</v>
      </c>
      <c r="AJ30" s="3636">
        <v>15.418254545454545</v>
      </c>
      <c r="AK30">
        <v>16.962436363636364</v>
      </c>
      <c r="AL30" s="3369">
        <v>6.0840000000000005</v>
      </c>
      <c r="AM30" s="3363">
        <v>6.5519999999999996</v>
      </c>
      <c r="AN30" s="3370">
        <v>7.0200000000000005</v>
      </c>
      <c r="AO30" s="3637">
        <v>13.172219999999999</v>
      </c>
      <c r="AP30" s="3636">
        <v>13.936589999999999</v>
      </c>
      <c r="AQ30" s="3638">
        <v>14.700959999999998</v>
      </c>
      <c r="AR30" s="3366">
        <v>10.381846153846153</v>
      </c>
      <c r="AS30" s="3363">
        <v>10.969823076923076</v>
      </c>
      <c r="AT30" s="3364">
        <v>11.5578</v>
      </c>
      <c r="AU30" s="3637">
        <v>9.3738857142857128</v>
      </c>
      <c r="AV30" s="3636">
        <v>9.8591999999999995</v>
      </c>
      <c r="AW30" s="3638">
        <v>10.344514285714286</v>
      </c>
      <c r="AX30" s="3365">
        <v>8.7119999999999997</v>
      </c>
      <c r="AY30" s="3363">
        <v>8.7119999999999997</v>
      </c>
      <c r="AZ30" s="3364">
        <v>8.7119999999999997</v>
      </c>
      <c r="BA30" s="3366">
        <v>16.124072727272726</v>
      </c>
      <c r="BB30" s="3363">
        <v>17.990590909090912</v>
      </c>
      <c r="BC30" s="3364">
        <v>19.83010909090909</v>
      </c>
      <c r="BD30" s="3366">
        <v>7.7940000000000005</v>
      </c>
      <c r="BE30" s="3363">
        <v>7.7940000000000005</v>
      </c>
      <c r="BF30" s="3364">
        <v>7.7940000000000005</v>
      </c>
      <c r="BG30" s="3366">
        <v>13.61777142857143</v>
      </c>
      <c r="BH30" s="3363">
        <v>14.782525714285715</v>
      </c>
      <c r="BI30" s="3364">
        <v>15.947280000000001</v>
      </c>
      <c r="BJ30" s="3370">
        <v>8.9099999999999984</v>
      </c>
      <c r="BK30" s="3364">
        <v>8.9099999999999984</v>
      </c>
      <c r="BL30" s="3364">
        <v>8.9099999999999984</v>
      </c>
      <c r="BM30" s="3364">
        <v>22.010318181818182</v>
      </c>
      <c r="BN30" s="3364">
        <v>23.199545454545454</v>
      </c>
      <c r="BO30" s="3364">
        <v>24.171136363636364</v>
      </c>
      <c r="BP30" s="3367">
        <v>3.1977000000000002</v>
      </c>
      <c r="BQ30" s="3367">
        <v>13.477803896103897</v>
      </c>
      <c r="BR30" s="3364">
        <v>11.420640000000001</v>
      </c>
      <c r="BS30" s="3364">
        <v>12.235968</v>
      </c>
      <c r="BT30" s="3364">
        <v>13.051296000000001</v>
      </c>
      <c r="BU30" s="3364">
        <v>21.658064516129034</v>
      </c>
      <c r="BV30" s="3364">
        <v>22.820516129032256</v>
      </c>
      <c r="BW30" s="3364">
        <v>23.916387096774194</v>
      </c>
      <c r="BX30" s="3364">
        <v>15.073714285714285</v>
      </c>
      <c r="BY30" s="3364">
        <v>17.257628571428569</v>
      </c>
      <c r="BZ30" s="3364">
        <v>19.441542857142863</v>
      </c>
      <c r="CA30" s="3364">
        <v>15.234624</v>
      </c>
      <c r="CB30" s="3364">
        <v>16.865279999999998</v>
      </c>
      <c r="CC30" s="3364">
        <v>18.495936</v>
      </c>
      <c r="CD30" s="3364">
        <v>15.073714285714285</v>
      </c>
      <c r="CE30" s="3364">
        <v>17.257628571428569</v>
      </c>
      <c r="CF30" s="3364">
        <v>19.441542857142863</v>
      </c>
      <c r="CG30" s="3364">
        <v>21.951406451612904</v>
      </c>
      <c r="CH30" s="3364">
        <v>22.925806451612907</v>
      </c>
      <c r="CI30" s="3364">
        <v>23.656387096774193</v>
      </c>
      <c r="CJ30" s="3364">
        <v>15.073714285714285</v>
      </c>
      <c r="CK30" s="3364">
        <v>17.257628571428569</v>
      </c>
      <c r="CL30" s="3364">
        <v>19.441542857142863</v>
      </c>
      <c r="CM30" s="3364">
        <v>8.2301142857142846</v>
      </c>
      <c r="CN30" s="3364">
        <v>10.41402857142857</v>
      </c>
      <c r="CO30" s="3364">
        <v>12.59794285714286</v>
      </c>
    </row>
    <row r="31" spans="2:93" ht="16.5" x14ac:dyDescent="0.2">
      <c r="B31" s="3371" t="s">
        <v>1408</v>
      </c>
      <c r="C31" s="3372"/>
      <c r="D31" s="3373" t="s">
        <v>1409</v>
      </c>
      <c r="E31" s="3374">
        <v>0</v>
      </c>
      <c r="F31" s="3303">
        <v>0</v>
      </c>
      <c r="G31" s="3304">
        <v>0</v>
      </c>
      <c r="H31" s="3759">
        <v>31.666666666666661</v>
      </c>
      <c r="I31" s="3760">
        <v>33.928571428571423</v>
      </c>
      <c r="J31" s="3760">
        <v>33.928571428571423</v>
      </c>
      <c r="K31" s="3761">
        <v>49.761904761904759</v>
      </c>
      <c r="L31" s="3762" t="s">
        <v>982</v>
      </c>
      <c r="M31">
        <v>34.883720930232556</v>
      </c>
      <c r="N31">
        <v>43.604651162790695</v>
      </c>
      <c r="O31" s="3376">
        <v>25.802469135802468</v>
      </c>
      <c r="P31" s="3639">
        <v>0</v>
      </c>
      <c r="Q31" s="3640">
        <v>0</v>
      </c>
      <c r="R31" s="3641">
        <v>0</v>
      </c>
      <c r="S31" s="3759">
        <v>0</v>
      </c>
      <c r="T31" s="3761">
        <v>0</v>
      </c>
      <c r="U31">
        <v>0</v>
      </c>
      <c r="V31" s="3640">
        <v>0</v>
      </c>
      <c r="W31" s="3639">
        <v>0</v>
      </c>
      <c r="X31">
        <v>0</v>
      </c>
      <c r="Y31" s="3302">
        <v>38.101604278074866</v>
      </c>
      <c r="Z31" s="3303">
        <v>46.568627450980387</v>
      </c>
      <c r="AA31" s="3304">
        <v>55.035650623885921</v>
      </c>
      <c r="AB31">
        <v>38.101604278074866</v>
      </c>
      <c r="AC31" s="3639">
        <v>46.568627450980387</v>
      </c>
      <c r="AD31" s="3641">
        <v>55.035650623885921</v>
      </c>
      <c r="AE31" s="3198"/>
      <c r="AF31" s="3302">
        <v>47.61904761904762</v>
      </c>
      <c r="AG31" s="3303">
        <v>56.277056277056275</v>
      </c>
      <c r="AH31" s="3304">
        <v>64.935064935064929</v>
      </c>
      <c r="AI31" s="3640">
        <v>49.350649350649348</v>
      </c>
      <c r="AJ31" s="3639">
        <v>59.632034632034625</v>
      </c>
      <c r="AK31">
        <v>69.913419913419901</v>
      </c>
      <c r="AL31" s="3377">
        <v>0</v>
      </c>
      <c r="AM31" s="3303">
        <v>0</v>
      </c>
      <c r="AN31" s="3378">
        <v>0</v>
      </c>
      <c r="AO31" s="3640">
        <v>32.884615384615394</v>
      </c>
      <c r="AP31" s="3639">
        <v>38.36538461538462</v>
      </c>
      <c r="AQ31" s="3641">
        <v>43.846153846153847</v>
      </c>
      <c r="AR31" s="3375">
        <v>20.299145299145298</v>
      </c>
      <c r="AS31" s="3303">
        <v>23.344017094017094</v>
      </c>
      <c r="AT31" s="3304">
        <v>26.388888888888886</v>
      </c>
      <c r="AU31" s="3640">
        <v>14.285714285714286</v>
      </c>
      <c r="AV31" s="3639">
        <v>16.666666666666664</v>
      </c>
      <c r="AW31" s="3641">
        <v>19.047619047619047</v>
      </c>
      <c r="AX31" s="3302">
        <v>0</v>
      </c>
      <c r="AY31" s="3303">
        <v>0</v>
      </c>
      <c r="AZ31" s="3304">
        <v>0</v>
      </c>
      <c r="BA31" s="3375">
        <v>49.350649350649348</v>
      </c>
      <c r="BB31" s="3303">
        <v>61.688311688311686</v>
      </c>
      <c r="BC31" s="3304">
        <v>74.025974025974008</v>
      </c>
      <c r="BD31" s="3375">
        <v>0</v>
      </c>
      <c r="BE31" s="3303">
        <v>0</v>
      </c>
      <c r="BF31" s="3304">
        <v>0</v>
      </c>
      <c r="BG31" s="3375">
        <v>41.758241758241766</v>
      </c>
      <c r="BH31" s="3303">
        <v>50.109890109890117</v>
      </c>
      <c r="BI31" s="3304">
        <v>58.461538461538467</v>
      </c>
      <c r="BJ31" s="3378">
        <v>0</v>
      </c>
      <c r="BK31" s="3304">
        <v>0</v>
      </c>
      <c r="BL31" s="3304">
        <v>0</v>
      </c>
      <c r="BM31" s="3304">
        <v>43.658088235294116</v>
      </c>
      <c r="BN31" s="3304">
        <v>52.389705882352942</v>
      </c>
      <c r="BO31" s="3304">
        <v>61.121323529411768</v>
      </c>
      <c r="BP31" s="3376">
        <v>0</v>
      </c>
      <c r="BQ31" s="3376">
        <v>33.928571428571431</v>
      </c>
      <c r="BR31" s="3304">
        <v>29.230769230769234</v>
      </c>
      <c r="BS31" s="3304">
        <v>35.076923076923073</v>
      </c>
      <c r="BT31" s="3304">
        <v>40.923076923076927</v>
      </c>
      <c r="BU31" s="3304">
        <v>75.901328273244786</v>
      </c>
      <c r="BV31" s="3304">
        <v>85.626185958254268</v>
      </c>
      <c r="BW31" s="3304">
        <v>99.146110056926005</v>
      </c>
      <c r="BX31" s="3379">
        <v>49.894957983193279</v>
      </c>
      <c r="BY31" s="3379">
        <v>64.863445378151255</v>
      </c>
      <c r="BZ31" s="3379">
        <v>79.831932773109244</v>
      </c>
      <c r="CA31" s="3379">
        <v>43.428571428571423</v>
      </c>
      <c r="CB31" s="3379">
        <v>54.285714285714285</v>
      </c>
      <c r="CC31" s="3379">
        <v>65.142857142857125</v>
      </c>
      <c r="CD31" s="3379">
        <v>49.894957983193279</v>
      </c>
      <c r="CE31" s="3379">
        <v>64.863445378151255</v>
      </c>
      <c r="CF31" s="3379">
        <v>79.831932773109244</v>
      </c>
      <c r="CG31" s="3304">
        <v>81.119544592030365</v>
      </c>
      <c r="CH31" s="3304">
        <v>90.132827324478171</v>
      </c>
      <c r="CI31" s="3304">
        <v>99.146110056926005</v>
      </c>
      <c r="CJ31" s="3304">
        <v>49.894957983193279</v>
      </c>
      <c r="CK31" s="3304">
        <v>64.863445378151255</v>
      </c>
      <c r="CL31" s="3304">
        <v>79.831932773109244</v>
      </c>
      <c r="CM31" s="3304">
        <v>48.469387755102034</v>
      </c>
      <c r="CN31" s="3304">
        <v>63.010204081632651</v>
      </c>
      <c r="CO31" s="3304">
        <v>77.551020408163268</v>
      </c>
    </row>
    <row r="32" spans="2:93" ht="16.5" x14ac:dyDescent="0.2">
      <c r="B32" s="3261" t="s">
        <v>1410</v>
      </c>
      <c r="C32" s="3380">
        <v>15.75</v>
      </c>
      <c r="D32" s="3381" t="s">
        <v>1058</v>
      </c>
      <c r="E32" s="3201">
        <v>170.06639999999999</v>
      </c>
      <c r="F32" s="3202">
        <v>178.1710875</v>
      </c>
      <c r="G32" s="3203">
        <v>247.76062499999995</v>
      </c>
      <c r="H32" s="3707">
        <v>215.01468409090907</v>
      </c>
      <c r="I32" s="3708">
        <v>124.07377499999998</v>
      </c>
      <c r="J32" s="3708">
        <v>221.51046331168831</v>
      </c>
      <c r="K32" s="3709">
        <v>309.03814285714287</v>
      </c>
      <c r="L32" s="3710">
        <v>173.40277500000002</v>
      </c>
      <c r="M32">
        <v>168.52053554190434</v>
      </c>
      <c r="N32">
        <v>272.56706942738037</v>
      </c>
      <c r="O32" s="3206">
        <v>322.67969999999997</v>
      </c>
      <c r="P32" s="3597">
        <v>237.006</v>
      </c>
      <c r="Q32" s="3598">
        <v>259.70174999999995</v>
      </c>
      <c r="R32" s="3599">
        <v>311.67675000000003</v>
      </c>
      <c r="S32" s="3707">
        <v>236.55417187500001</v>
      </c>
      <c r="T32" s="3709">
        <v>263.9074921875</v>
      </c>
      <c r="U32">
        <v>291.26081250000004</v>
      </c>
      <c r="V32" s="3598">
        <v>236.55417187500001</v>
      </c>
      <c r="W32" s="3597">
        <v>273.02526562499997</v>
      </c>
      <c r="X32">
        <v>314.48714062499999</v>
      </c>
      <c r="Y32" s="3204">
        <v>334.22558057851234</v>
      </c>
      <c r="Z32" s="3202">
        <v>371.0907954545454</v>
      </c>
      <c r="AA32" s="3203">
        <v>399.00071280991739</v>
      </c>
      <c r="AB32">
        <v>295.82287809917347</v>
      </c>
      <c r="AC32" s="3597">
        <v>322.53279545454541</v>
      </c>
      <c r="AD32" s="3599">
        <v>365.85622933884292</v>
      </c>
      <c r="AE32" s="3207"/>
      <c r="AF32" s="3204">
        <v>250.70850000000002</v>
      </c>
      <c r="AG32" s="3202">
        <v>271.18922727272729</v>
      </c>
      <c r="AH32" s="3203">
        <v>257.64995454545459</v>
      </c>
      <c r="AI32" s="3598">
        <v>218.51664545454545</v>
      </c>
      <c r="AJ32" s="3597">
        <v>242.83750909090907</v>
      </c>
      <c r="AK32">
        <v>267.15837272727271</v>
      </c>
      <c r="AL32" s="3208">
        <v>95.823000000000008</v>
      </c>
      <c r="AM32" s="3202">
        <v>103.19399999999999</v>
      </c>
      <c r="AN32" s="3209">
        <v>110.56500000000001</v>
      </c>
      <c r="AO32" s="3598">
        <v>207.46246499999998</v>
      </c>
      <c r="AP32" s="3597">
        <v>219.50129249999998</v>
      </c>
      <c r="AQ32" s="3599">
        <v>231.54011999999997</v>
      </c>
      <c r="AR32" s="3205">
        <v>163.51407692307691</v>
      </c>
      <c r="AS32" s="3202">
        <v>172.77471346153845</v>
      </c>
      <c r="AT32" s="3203">
        <v>182.03534999999999</v>
      </c>
      <c r="AU32" s="3598">
        <v>147.63869999999997</v>
      </c>
      <c r="AV32" s="3597">
        <v>155.2824</v>
      </c>
      <c r="AW32" s="3599">
        <v>162.92610000000002</v>
      </c>
      <c r="AX32" s="3204">
        <v>137.214</v>
      </c>
      <c r="AY32" s="3202">
        <v>137.214</v>
      </c>
      <c r="AZ32" s="3203">
        <v>137.214</v>
      </c>
      <c r="BA32" s="3205">
        <v>253.95414545454543</v>
      </c>
      <c r="BB32" s="3202">
        <v>283.35180681818184</v>
      </c>
      <c r="BC32" s="3203">
        <v>312.3242181818182</v>
      </c>
      <c r="BD32" s="3205">
        <v>122.75550000000001</v>
      </c>
      <c r="BE32" s="3202">
        <v>122.75550000000001</v>
      </c>
      <c r="BF32" s="3203">
        <v>122.75550000000001</v>
      </c>
      <c r="BG32" s="3205">
        <v>214.47990000000001</v>
      </c>
      <c r="BH32" s="3202">
        <v>232.82478</v>
      </c>
      <c r="BI32" s="3203">
        <v>251.16966000000002</v>
      </c>
      <c r="BJ32" s="3209">
        <v>140.33249999999998</v>
      </c>
      <c r="BK32" s="3203">
        <v>140.33249999999998</v>
      </c>
      <c r="BL32" s="3203">
        <v>140.33249999999998</v>
      </c>
      <c r="BM32" s="3203">
        <v>346.66251136363638</v>
      </c>
      <c r="BN32" s="3203">
        <v>365.39284090909092</v>
      </c>
      <c r="BO32" s="3203">
        <v>380.69539772727273</v>
      </c>
      <c r="BP32" s="3206">
        <v>50.363775000000004</v>
      </c>
      <c r="BQ32" s="3206">
        <v>212.27541136363638</v>
      </c>
      <c r="BR32" s="3203">
        <v>179.87508</v>
      </c>
      <c r="BS32" s="3203">
        <v>192.71649600000001</v>
      </c>
      <c r="BT32" s="3203">
        <v>205.55791200000002</v>
      </c>
      <c r="BU32" s="3203">
        <v>341.11451612903227</v>
      </c>
      <c r="BV32" s="3203">
        <v>359.42312903225803</v>
      </c>
      <c r="BW32" s="3203">
        <v>376.68309677419359</v>
      </c>
      <c r="BX32" s="3203">
        <v>237.411</v>
      </c>
      <c r="BY32" s="3203">
        <v>271.80764999999997</v>
      </c>
      <c r="BZ32" s="3203">
        <v>306.2043000000001</v>
      </c>
      <c r="CA32" s="3203">
        <v>239.94532799999999</v>
      </c>
      <c r="CB32" s="3203">
        <v>265.62815999999998</v>
      </c>
      <c r="CC32" s="3203">
        <v>291.310992</v>
      </c>
      <c r="CD32" s="3203">
        <v>237.411</v>
      </c>
      <c r="CE32" s="3203">
        <v>271.80764999999997</v>
      </c>
      <c r="CF32" s="3203">
        <v>306.2043000000001</v>
      </c>
      <c r="CG32" s="3203">
        <v>345.73465161290324</v>
      </c>
      <c r="CH32" s="3203">
        <v>361.08145161290327</v>
      </c>
      <c r="CI32" s="3203">
        <v>372.58809677419356</v>
      </c>
      <c r="CJ32" s="3203">
        <v>237.411</v>
      </c>
      <c r="CK32" s="3203">
        <v>271.80764999999997</v>
      </c>
      <c r="CL32" s="3203">
        <v>306.2043000000001</v>
      </c>
      <c r="CM32" s="3203">
        <v>129.62429999999998</v>
      </c>
      <c r="CN32" s="3203">
        <v>164.02094999999997</v>
      </c>
      <c r="CO32" s="3203">
        <v>198.41760000000005</v>
      </c>
    </row>
    <row r="33" spans="2:93" ht="16.5" x14ac:dyDescent="0.2">
      <c r="B33" s="3261" t="s">
        <v>1411</v>
      </c>
      <c r="C33" s="3262"/>
      <c r="D33" s="3382" t="s">
        <v>1058</v>
      </c>
      <c r="E33" s="3201">
        <v>0</v>
      </c>
      <c r="F33" s="3202">
        <v>0</v>
      </c>
      <c r="G33" s="3203">
        <v>0</v>
      </c>
      <c r="H33" s="3707">
        <v>72.041666666666657</v>
      </c>
      <c r="I33" s="3708">
        <v>77.1875</v>
      </c>
      <c r="J33" s="3708">
        <v>77.1875</v>
      </c>
      <c r="K33" s="3709">
        <v>113.20833333333334</v>
      </c>
      <c r="L33" s="3710">
        <v>0</v>
      </c>
      <c r="M33">
        <v>90.872093023255815</v>
      </c>
      <c r="N33">
        <v>113.59011627906978</v>
      </c>
      <c r="O33" s="3206">
        <v>50.314814814814817</v>
      </c>
      <c r="P33" s="3597">
        <v>0</v>
      </c>
      <c r="Q33" s="3598">
        <v>0</v>
      </c>
      <c r="R33" s="3599">
        <v>0</v>
      </c>
      <c r="S33" s="3707">
        <v>0</v>
      </c>
      <c r="T33" s="3709">
        <v>0</v>
      </c>
      <c r="U33">
        <v>0</v>
      </c>
      <c r="V33" s="3598">
        <v>0</v>
      </c>
      <c r="W33" s="3597">
        <v>0</v>
      </c>
      <c r="X33">
        <v>0</v>
      </c>
      <c r="Y33" s="3204">
        <v>86.681149732620312</v>
      </c>
      <c r="Z33" s="3202">
        <v>105.94362745098037</v>
      </c>
      <c r="AA33" s="3203">
        <v>125.20610516934046</v>
      </c>
      <c r="AB33">
        <v>86.681149732620312</v>
      </c>
      <c r="AC33" s="3597">
        <v>105.94362745098037</v>
      </c>
      <c r="AD33" s="3599">
        <v>125.20610516934046</v>
      </c>
      <c r="AE33" s="3207"/>
      <c r="AF33" s="3204">
        <v>108.33333333333333</v>
      </c>
      <c r="AG33" s="3202">
        <v>128.03030303030303</v>
      </c>
      <c r="AH33" s="3203">
        <v>147.72727272727272</v>
      </c>
      <c r="AI33" s="3598">
        <v>112.27272727272727</v>
      </c>
      <c r="AJ33" s="3597">
        <v>135.66287878787875</v>
      </c>
      <c r="AK33">
        <v>159.05303030303025</v>
      </c>
      <c r="AL33" s="3208">
        <v>0</v>
      </c>
      <c r="AM33" s="3202">
        <v>0</v>
      </c>
      <c r="AN33" s="3209">
        <v>0</v>
      </c>
      <c r="AO33" s="3598">
        <v>74.812500000000014</v>
      </c>
      <c r="AP33" s="3597">
        <v>87.281250000000014</v>
      </c>
      <c r="AQ33" s="3599">
        <v>99.75</v>
      </c>
      <c r="AR33" s="3205">
        <v>46.18055555555555</v>
      </c>
      <c r="AS33" s="3202">
        <v>53.107638888888886</v>
      </c>
      <c r="AT33" s="3203">
        <v>60.034722222222214</v>
      </c>
      <c r="AU33" s="3598">
        <v>32.5</v>
      </c>
      <c r="AV33" s="3597">
        <v>37.916666666666657</v>
      </c>
      <c r="AW33" s="3599">
        <v>43.333333333333329</v>
      </c>
      <c r="AX33" s="3204">
        <v>0</v>
      </c>
      <c r="AY33" s="3202">
        <v>0</v>
      </c>
      <c r="AZ33" s="3203">
        <v>0</v>
      </c>
      <c r="BA33" s="3205">
        <v>112.27272727272727</v>
      </c>
      <c r="BB33" s="3202">
        <v>140.34090909090907</v>
      </c>
      <c r="BC33" s="3203">
        <v>168.40909090909085</v>
      </c>
      <c r="BD33" s="3205">
        <v>0</v>
      </c>
      <c r="BE33" s="3202">
        <v>0</v>
      </c>
      <c r="BF33" s="3203">
        <v>0</v>
      </c>
      <c r="BG33" s="3205">
        <v>95.000000000000014</v>
      </c>
      <c r="BH33" s="3202">
        <v>114.00000000000001</v>
      </c>
      <c r="BI33" s="3203">
        <v>133</v>
      </c>
      <c r="BJ33" s="3209">
        <v>0</v>
      </c>
      <c r="BK33" s="3203">
        <v>0</v>
      </c>
      <c r="BL33" s="3203">
        <v>0</v>
      </c>
      <c r="BM33" s="3203">
        <v>99.322150735294116</v>
      </c>
      <c r="BN33" s="3203">
        <v>119.18658088235294</v>
      </c>
      <c r="BO33" s="3203">
        <v>139.05101102941177</v>
      </c>
      <c r="BP33" s="3206">
        <v>0</v>
      </c>
      <c r="BQ33" s="3206">
        <v>77.1875</v>
      </c>
      <c r="BR33" s="3203">
        <v>0</v>
      </c>
      <c r="BS33" s="3203">
        <v>0</v>
      </c>
      <c r="BT33" s="3203">
        <v>0</v>
      </c>
      <c r="BU33" s="3203">
        <v>172.67552182163189</v>
      </c>
      <c r="BV33" s="3203">
        <v>194.79957305502845</v>
      </c>
      <c r="BW33" s="3203">
        <v>225.55740037950665</v>
      </c>
      <c r="BX33" s="3203">
        <v>113.51102941176471</v>
      </c>
      <c r="BY33" s="3203">
        <v>147.56433823529409</v>
      </c>
      <c r="BZ33" s="3203">
        <v>181.61764705882354</v>
      </c>
      <c r="CA33" s="3203">
        <v>98.799999999999983</v>
      </c>
      <c r="CB33" s="3203">
        <v>123.49999999999999</v>
      </c>
      <c r="CC33" s="3203">
        <v>148.19999999999996</v>
      </c>
      <c r="CD33" s="3203">
        <v>113.51102941176471</v>
      </c>
      <c r="CE33" s="3203">
        <v>147.56433823529409</v>
      </c>
      <c r="CF33" s="3203">
        <v>181.61764705882354</v>
      </c>
      <c r="CG33" s="3203">
        <v>184.54696394686908</v>
      </c>
      <c r="CH33" s="3203">
        <v>205.05218216318784</v>
      </c>
      <c r="CI33" s="3203">
        <v>225.55740037950665</v>
      </c>
      <c r="CJ33" s="3203">
        <v>113.51102941176471</v>
      </c>
      <c r="CK33" s="3203">
        <v>147.56433823529409</v>
      </c>
      <c r="CL33" s="3203">
        <v>181.61764705882354</v>
      </c>
      <c r="CM33" s="3203">
        <v>110.26785714285712</v>
      </c>
      <c r="CN33" s="3203">
        <v>143.34821428571428</v>
      </c>
      <c r="CO33" s="3203">
        <v>176.42857142857142</v>
      </c>
    </row>
    <row r="34" spans="2:93" ht="16.5" x14ac:dyDescent="0.2">
      <c r="B34" s="3261" t="s">
        <v>1412</v>
      </c>
      <c r="C34" s="3262"/>
      <c r="D34" s="3382" t="s">
        <v>1058</v>
      </c>
      <c r="E34" s="3201">
        <v>184.14404882154884</v>
      </c>
      <c r="F34" s="3202">
        <v>184.14404882154884</v>
      </c>
      <c r="G34" s="3203">
        <v>184.14404882154884</v>
      </c>
      <c r="H34" s="3707">
        <v>360.33738215488216</v>
      </c>
      <c r="I34" s="3708">
        <v>250</v>
      </c>
      <c r="J34" s="3708">
        <v>360.33738215488216</v>
      </c>
      <c r="K34" s="3709">
        <v>360.33738215488216</v>
      </c>
      <c r="L34" s="3710">
        <v>250</v>
      </c>
      <c r="M34">
        <v>195.83215339671227</v>
      </c>
      <c r="N34">
        <v>195.83215339671227</v>
      </c>
      <c r="O34" s="3206">
        <v>236.53798821548824</v>
      </c>
      <c r="P34" s="3597">
        <v>96.157583333333321</v>
      </c>
      <c r="Q34" s="3598">
        <v>96.157583333333321</v>
      </c>
      <c r="R34" s="3599">
        <v>96.157583333333321</v>
      </c>
      <c r="S34" s="3707">
        <v>250.45515993265997</v>
      </c>
      <c r="T34" s="3709">
        <v>250.45515993265997</v>
      </c>
      <c r="U34">
        <v>250.45515993265997</v>
      </c>
      <c r="V34" s="3598">
        <v>250.45515993265997</v>
      </c>
      <c r="W34" s="3597">
        <v>250.45515993265997</v>
      </c>
      <c r="X34">
        <v>250.45515993265997</v>
      </c>
      <c r="Y34" s="3204">
        <v>405.69091750841756</v>
      </c>
      <c r="Z34" s="3202">
        <v>405.69091750841756</v>
      </c>
      <c r="AA34" s="3203">
        <v>405.69091750841756</v>
      </c>
      <c r="AB34">
        <v>267.14091750841754</v>
      </c>
      <c r="AC34" s="3597">
        <v>267.14091750841754</v>
      </c>
      <c r="AD34" s="3599">
        <v>267.14091750841754</v>
      </c>
      <c r="AE34" s="3207"/>
      <c r="AF34" s="3204">
        <v>270.3257843915344</v>
      </c>
      <c r="AG34" s="3202">
        <v>270.3257843915344</v>
      </c>
      <c r="AH34" s="3203">
        <v>270.3257843915344</v>
      </c>
      <c r="AI34" s="3598">
        <v>270.3257843915344</v>
      </c>
      <c r="AJ34" s="3597">
        <v>270.3257843915344</v>
      </c>
      <c r="AK34">
        <v>270.3257843915344</v>
      </c>
      <c r="AL34" s="3208">
        <v>0</v>
      </c>
      <c r="AM34" s="3202">
        <v>0</v>
      </c>
      <c r="AN34" s="3209">
        <v>0</v>
      </c>
      <c r="AO34" s="3598">
        <v>259.11236772486774</v>
      </c>
      <c r="AP34" s="3597">
        <v>259.11236772486774</v>
      </c>
      <c r="AQ34" s="3599">
        <v>259.11236772486774</v>
      </c>
      <c r="AR34" s="3205">
        <v>270.3257843915344</v>
      </c>
      <c r="AS34" s="3202">
        <v>270.3257843915344</v>
      </c>
      <c r="AT34" s="3203">
        <v>270.3257843915344</v>
      </c>
      <c r="AU34" s="3598">
        <v>270.3257843915344</v>
      </c>
      <c r="AV34" s="3597">
        <v>270.3257843915344</v>
      </c>
      <c r="AW34" s="3599">
        <v>270.3257843915344</v>
      </c>
      <c r="AX34" s="3204">
        <v>246.66221296296297</v>
      </c>
      <c r="AY34" s="3202">
        <v>246.66221296296297</v>
      </c>
      <c r="AZ34" s="3203">
        <v>246.66221296296297</v>
      </c>
      <c r="BA34" s="3205">
        <v>270.3257843915344</v>
      </c>
      <c r="BB34" s="3202">
        <v>270.3257843915344</v>
      </c>
      <c r="BC34" s="3203">
        <v>270.3257843915344</v>
      </c>
      <c r="BD34" s="3205">
        <v>235.44879629629631</v>
      </c>
      <c r="BE34" s="3202">
        <v>235.44879629629631</v>
      </c>
      <c r="BF34" s="3203">
        <v>235.44879629629631</v>
      </c>
      <c r="BG34" s="3205">
        <v>259.11236772486774</v>
      </c>
      <c r="BH34" s="3202">
        <v>259.11236772486774</v>
      </c>
      <c r="BI34" s="3203">
        <v>259.11236772486774</v>
      </c>
      <c r="BJ34" s="3209">
        <v>340.42303872053878</v>
      </c>
      <c r="BK34" s="3203">
        <v>340.42303872053878</v>
      </c>
      <c r="BL34" s="3203">
        <v>340.42303872053878</v>
      </c>
      <c r="BM34" s="3203">
        <v>468.41394781144783</v>
      </c>
      <c r="BN34" s="3203">
        <v>468.41394781144783</v>
      </c>
      <c r="BO34" s="3203">
        <v>468.41394781144783</v>
      </c>
      <c r="BP34" s="3206">
        <v>121.42101851851858</v>
      </c>
      <c r="BQ34" s="3206">
        <v>216.04124430580316</v>
      </c>
      <c r="BR34" s="3203">
        <v>0</v>
      </c>
      <c r="BS34" s="3203">
        <v>0</v>
      </c>
      <c r="BT34" s="3203">
        <v>0</v>
      </c>
      <c r="BU34" s="3203">
        <v>270.3257843915344</v>
      </c>
      <c r="BV34" s="3203">
        <v>270.3257843915344</v>
      </c>
      <c r="BW34" s="3203">
        <v>270.3257843915344</v>
      </c>
      <c r="BX34" s="3203">
        <v>270.3257843915344</v>
      </c>
      <c r="BY34" s="3203">
        <v>270.3257843915344</v>
      </c>
      <c r="BZ34" s="3203">
        <v>270.3257843915344</v>
      </c>
      <c r="CA34" s="3203">
        <v>270.3257843915344</v>
      </c>
      <c r="CB34" s="3203">
        <v>270.3257843915344</v>
      </c>
      <c r="CC34" s="3203">
        <v>270.3257843915344</v>
      </c>
      <c r="CD34" s="3203">
        <v>270.3257843915344</v>
      </c>
      <c r="CE34" s="3203">
        <v>270.3257843915344</v>
      </c>
      <c r="CF34" s="3203">
        <v>270.3257843915344</v>
      </c>
      <c r="CG34" s="3203">
        <v>270.3257843915344</v>
      </c>
      <c r="CH34" s="3203">
        <v>270.3257843915344</v>
      </c>
      <c r="CI34" s="3203">
        <v>270.3257843915344</v>
      </c>
      <c r="CJ34" s="3203">
        <v>270.3257843915344</v>
      </c>
      <c r="CK34" s="3203">
        <v>270.3257843915344</v>
      </c>
      <c r="CL34" s="3203">
        <v>270.3257843915344</v>
      </c>
      <c r="CM34" s="3203">
        <v>270.3257843915344</v>
      </c>
      <c r="CN34" s="3203">
        <v>270.3257843915344</v>
      </c>
      <c r="CO34" s="3203">
        <v>270.3257843915344</v>
      </c>
    </row>
    <row r="35" spans="2:93" ht="16.5" x14ac:dyDescent="0.2">
      <c r="B35" s="3261" t="s">
        <v>1413</v>
      </c>
      <c r="C35" s="3262"/>
      <c r="D35" s="3382" t="s">
        <v>1058</v>
      </c>
      <c r="E35" s="3201">
        <v>37.5</v>
      </c>
      <c r="F35" s="3202">
        <v>37.5</v>
      </c>
      <c r="G35" s="3203">
        <v>37.5</v>
      </c>
      <c r="H35" s="3707">
        <v>37.5</v>
      </c>
      <c r="I35" s="3708">
        <v>37.5</v>
      </c>
      <c r="J35" s="3708">
        <v>37.5</v>
      </c>
      <c r="K35" s="3709">
        <v>37.5</v>
      </c>
      <c r="L35" s="3710">
        <v>37.5</v>
      </c>
      <c r="M35">
        <v>37.5</v>
      </c>
      <c r="N35">
        <v>37.5</v>
      </c>
      <c r="O35" s="3206">
        <v>37.5</v>
      </c>
      <c r="P35" s="3597">
        <v>37.5</v>
      </c>
      <c r="Q35" s="3598">
        <v>37.5</v>
      </c>
      <c r="R35" s="3599">
        <v>37.5</v>
      </c>
      <c r="S35" s="3707">
        <v>37.5</v>
      </c>
      <c r="T35" s="3709">
        <v>37.5</v>
      </c>
      <c r="U35">
        <v>37.5</v>
      </c>
      <c r="V35" s="3598">
        <v>37.5</v>
      </c>
      <c r="W35" s="3597">
        <v>37.5</v>
      </c>
      <c r="X35">
        <v>37.5</v>
      </c>
      <c r="Y35" s="3204">
        <v>37.5</v>
      </c>
      <c r="Z35" s="3202">
        <v>37.5</v>
      </c>
      <c r="AA35" s="3203">
        <v>37.5</v>
      </c>
      <c r="AB35">
        <v>37.5</v>
      </c>
      <c r="AC35" s="3597">
        <v>37.5</v>
      </c>
      <c r="AD35" s="3599">
        <v>37.5</v>
      </c>
      <c r="AE35" s="3207"/>
      <c r="AF35" s="3204">
        <v>37.5</v>
      </c>
      <c r="AG35" s="3202">
        <v>37.5</v>
      </c>
      <c r="AH35" s="3203">
        <v>37.5</v>
      </c>
      <c r="AI35" s="3598">
        <v>37.5</v>
      </c>
      <c r="AJ35" s="3597">
        <v>37.5</v>
      </c>
      <c r="AK35">
        <v>37.5</v>
      </c>
      <c r="AL35" s="3208">
        <v>0</v>
      </c>
      <c r="AM35" s="3202">
        <v>0</v>
      </c>
      <c r="AN35" s="3209">
        <v>0</v>
      </c>
      <c r="AO35" s="3598">
        <v>37.5</v>
      </c>
      <c r="AP35" s="3597">
        <v>37.5</v>
      </c>
      <c r="AQ35" s="3599">
        <v>37.5</v>
      </c>
      <c r="AR35" s="3205">
        <v>37.5</v>
      </c>
      <c r="AS35" s="3202">
        <v>37.5</v>
      </c>
      <c r="AT35" s="3203">
        <v>37.5</v>
      </c>
      <c r="AU35" s="3598">
        <v>37.5</v>
      </c>
      <c r="AV35" s="3597">
        <v>37.5</v>
      </c>
      <c r="AW35" s="3599">
        <v>37.5</v>
      </c>
      <c r="AX35" s="3204">
        <v>37.5</v>
      </c>
      <c r="AY35" s="3202">
        <v>37.5</v>
      </c>
      <c r="AZ35" s="3203">
        <v>37.5</v>
      </c>
      <c r="BA35" s="3205">
        <v>37.5</v>
      </c>
      <c r="BB35" s="3202">
        <v>37.5</v>
      </c>
      <c r="BC35" s="3203">
        <v>37.5</v>
      </c>
      <c r="BD35" s="3205">
        <v>37.5</v>
      </c>
      <c r="BE35" s="3202">
        <v>37.5</v>
      </c>
      <c r="BF35" s="3203">
        <v>37.5</v>
      </c>
      <c r="BG35" s="3205">
        <v>37.5</v>
      </c>
      <c r="BH35" s="3202">
        <v>37.5</v>
      </c>
      <c r="BI35" s="3203">
        <v>37.5</v>
      </c>
      <c r="BJ35" s="3209">
        <v>37.5</v>
      </c>
      <c r="BK35" s="3203">
        <v>37.5</v>
      </c>
      <c r="BL35" s="3203">
        <v>37.5</v>
      </c>
      <c r="BM35" s="3203">
        <v>37.5</v>
      </c>
      <c r="BN35" s="3203">
        <v>37.5</v>
      </c>
      <c r="BO35" s="3203">
        <v>37.5</v>
      </c>
      <c r="BP35" s="3206">
        <v>37.5</v>
      </c>
      <c r="BQ35" s="3206">
        <v>37.5</v>
      </c>
      <c r="BR35" s="3203">
        <v>0</v>
      </c>
      <c r="BS35" s="3203">
        <v>0</v>
      </c>
      <c r="BT35" s="3203">
        <v>0</v>
      </c>
      <c r="BU35" s="3203">
        <v>37.5</v>
      </c>
      <c r="BV35" s="3203">
        <v>37.5</v>
      </c>
      <c r="BW35" s="3203">
        <v>37.5</v>
      </c>
      <c r="BX35" s="3203">
        <v>37.5</v>
      </c>
      <c r="BY35" s="3203">
        <v>37.5</v>
      </c>
      <c r="BZ35" s="3203">
        <v>37.5</v>
      </c>
      <c r="CA35" s="3203">
        <v>37.5</v>
      </c>
      <c r="CB35" s="3203">
        <v>37.5</v>
      </c>
      <c r="CC35" s="3203">
        <v>37.5</v>
      </c>
      <c r="CD35" s="3203">
        <v>37.5</v>
      </c>
      <c r="CE35" s="3203">
        <v>37.5</v>
      </c>
      <c r="CF35" s="3203">
        <v>37.5</v>
      </c>
      <c r="CG35" s="3203">
        <v>37.5</v>
      </c>
      <c r="CH35" s="3203">
        <v>37.5</v>
      </c>
      <c r="CI35" s="3203">
        <v>37.5</v>
      </c>
      <c r="CJ35" s="3203">
        <v>37.5</v>
      </c>
      <c r="CK35" s="3203">
        <v>37.5</v>
      </c>
      <c r="CL35" s="3203">
        <v>37.5</v>
      </c>
      <c r="CM35" s="3203">
        <v>37.5</v>
      </c>
      <c r="CN35" s="3203">
        <v>37.5</v>
      </c>
      <c r="CO35" s="3203">
        <v>37.5</v>
      </c>
    </row>
    <row r="36" spans="2:93" ht="16.5" x14ac:dyDescent="0.2">
      <c r="B36" s="3261" t="s">
        <v>1414</v>
      </c>
      <c r="C36" s="3262"/>
      <c r="D36" s="3260" t="s">
        <v>1058</v>
      </c>
      <c r="E36" s="3201">
        <v>75</v>
      </c>
      <c r="F36" s="3202">
        <v>150</v>
      </c>
      <c r="G36" s="3203">
        <v>150</v>
      </c>
      <c r="H36" s="3707">
        <v>75</v>
      </c>
      <c r="I36" s="3708">
        <v>150</v>
      </c>
      <c r="J36" s="3708">
        <v>150</v>
      </c>
      <c r="K36" s="3709">
        <v>150</v>
      </c>
      <c r="L36" s="3710">
        <v>150</v>
      </c>
      <c r="M36">
        <v>75</v>
      </c>
      <c r="N36">
        <v>150</v>
      </c>
      <c r="O36" s="3206">
        <v>150</v>
      </c>
      <c r="P36" s="3597">
        <v>75</v>
      </c>
      <c r="Q36" s="3598">
        <v>150</v>
      </c>
      <c r="R36" s="3599">
        <v>150</v>
      </c>
      <c r="S36" s="3707">
        <v>250</v>
      </c>
      <c r="T36" s="3709">
        <v>250</v>
      </c>
      <c r="U36">
        <v>250</v>
      </c>
      <c r="V36" s="3598">
        <v>250</v>
      </c>
      <c r="W36" s="3597">
        <v>250</v>
      </c>
      <c r="X36">
        <v>250</v>
      </c>
      <c r="Y36" s="3204">
        <v>250</v>
      </c>
      <c r="Z36" s="3202">
        <v>250</v>
      </c>
      <c r="AA36" s="3203">
        <v>250</v>
      </c>
      <c r="AB36">
        <v>250</v>
      </c>
      <c r="AC36" s="3597">
        <v>250</v>
      </c>
      <c r="AD36" s="3599">
        <v>250</v>
      </c>
      <c r="AE36" s="3207"/>
      <c r="AF36" s="3204">
        <v>250</v>
      </c>
      <c r="AG36" s="3202">
        <v>250</v>
      </c>
      <c r="AH36" s="3203">
        <v>250</v>
      </c>
      <c r="AI36" s="3598">
        <v>250</v>
      </c>
      <c r="AJ36" s="3597">
        <v>250</v>
      </c>
      <c r="AK36">
        <v>250</v>
      </c>
      <c r="AL36" s="3208">
        <v>0</v>
      </c>
      <c r="AM36" s="3202">
        <v>0</v>
      </c>
      <c r="AN36" s="3209">
        <v>0</v>
      </c>
      <c r="AO36" s="3598">
        <v>250</v>
      </c>
      <c r="AP36" s="3597">
        <v>250</v>
      </c>
      <c r="AQ36" s="3599">
        <v>250</v>
      </c>
      <c r="AR36" s="3205">
        <v>250</v>
      </c>
      <c r="AS36" s="3202">
        <v>250</v>
      </c>
      <c r="AT36" s="3203">
        <v>250</v>
      </c>
      <c r="AU36" s="3598">
        <v>250</v>
      </c>
      <c r="AV36" s="3597">
        <v>250</v>
      </c>
      <c r="AW36" s="3599">
        <v>250</v>
      </c>
      <c r="AX36" s="3204">
        <v>250</v>
      </c>
      <c r="AY36" s="3202">
        <v>250</v>
      </c>
      <c r="AZ36" s="3203">
        <v>250</v>
      </c>
      <c r="BA36" s="3205">
        <v>250</v>
      </c>
      <c r="BB36" s="3202">
        <v>250</v>
      </c>
      <c r="BC36" s="3203">
        <v>250</v>
      </c>
      <c r="BD36" s="3205">
        <v>250</v>
      </c>
      <c r="BE36" s="3202">
        <v>250</v>
      </c>
      <c r="BF36" s="3203">
        <v>250</v>
      </c>
      <c r="BG36" s="3205">
        <v>250</v>
      </c>
      <c r="BH36" s="3202">
        <v>250</v>
      </c>
      <c r="BI36" s="3203">
        <v>250</v>
      </c>
      <c r="BJ36" s="3209">
        <v>250</v>
      </c>
      <c r="BK36" s="3203">
        <v>250</v>
      </c>
      <c r="BL36" s="3203">
        <v>250</v>
      </c>
      <c r="BM36" s="3203">
        <v>250</v>
      </c>
      <c r="BN36" s="3203">
        <v>250</v>
      </c>
      <c r="BO36" s="3203">
        <v>250</v>
      </c>
      <c r="BP36" s="3206">
        <v>150</v>
      </c>
      <c r="BQ36" s="3206">
        <v>150</v>
      </c>
      <c r="BR36" s="3203">
        <v>0</v>
      </c>
      <c r="BS36" s="3203">
        <v>0</v>
      </c>
      <c r="BT36" s="3203">
        <v>0</v>
      </c>
      <c r="BU36" s="3203">
        <v>250</v>
      </c>
      <c r="BV36" s="3203">
        <v>250</v>
      </c>
      <c r="BW36" s="3203">
        <v>250</v>
      </c>
      <c r="BX36" s="3203">
        <v>250</v>
      </c>
      <c r="BY36" s="3203">
        <v>250</v>
      </c>
      <c r="BZ36" s="3203">
        <v>250</v>
      </c>
      <c r="CA36" s="3203">
        <v>250</v>
      </c>
      <c r="CB36" s="3203">
        <v>250</v>
      </c>
      <c r="CC36" s="3203">
        <v>250</v>
      </c>
      <c r="CD36" s="3203">
        <v>250</v>
      </c>
      <c r="CE36" s="3203">
        <v>250</v>
      </c>
      <c r="CF36" s="3203">
        <v>250</v>
      </c>
      <c r="CG36" s="3203">
        <v>250</v>
      </c>
      <c r="CH36" s="3203">
        <v>250</v>
      </c>
      <c r="CI36" s="3203">
        <v>250</v>
      </c>
      <c r="CJ36" s="3203">
        <v>250</v>
      </c>
      <c r="CK36" s="3203">
        <v>250</v>
      </c>
      <c r="CL36" s="3203">
        <v>250</v>
      </c>
      <c r="CM36" s="3203">
        <v>250</v>
      </c>
      <c r="CN36" s="3203">
        <v>250</v>
      </c>
      <c r="CO36" s="3203">
        <v>250</v>
      </c>
    </row>
    <row r="37" spans="2:93" ht="16.5" x14ac:dyDescent="0.2">
      <c r="B37" s="3261" t="s">
        <v>1415</v>
      </c>
      <c r="C37" s="3262"/>
      <c r="D37" s="3382" t="s">
        <v>1058</v>
      </c>
      <c r="E37" s="3201">
        <v>105</v>
      </c>
      <c r="F37" s="3202">
        <v>105</v>
      </c>
      <c r="G37" s="3203">
        <v>105</v>
      </c>
      <c r="H37" s="3707">
        <v>105</v>
      </c>
      <c r="I37" s="3708">
        <v>105</v>
      </c>
      <c r="J37" s="3708">
        <v>105</v>
      </c>
      <c r="K37" s="3709">
        <v>105</v>
      </c>
      <c r="L37" s="3710">
        <v>105</v>
      </c>
      <c r="M37">
        <v>105</v>
      </c>
      <c r="N37">
        <v>105</v>
      </c>
      <c r="O37" s="3206">
        <v>105</v>
      </c>
      <c r="P37" s="3597">
        <v>105</v>
      </c>
      <c r="Q37" s="3598">
        <v>105</v>
      </c>
      <c r="R37" s="3599">
        <v>105</v>
      </c>
      <c r="S37" s="3707">
        <v>105</v>
      </c>
      <c r="T37" s="3709">
        <v>105</v>
      </c>
      <c r="U37">
        <v>105</v>
      </c>
      <c r="V37" s="3598">
        <v>105</v>
      </c>
      <c r="W37" s="3597">
        <v>105</v>
      </c>
      <c r="X37">
        <v>105</v>
      </c>
      <c r="Y37" s="3204">
        <v>105</v>
      </c>
      <c r="Z37" s="3202">
        <v>105</v>
      </c>
      <c r="AA37" s="3203">
        <v>105</v>
      </c>
      <c r="AB37">
        <v>105</v>
      </c>
      <c r="AC37" s="3597">
        <v>105</v>
      </c>
      <c r="AD37" s="3599">
        <v>105</v>
      </c>
      <c r="AE37" s="3207"/>
      <c r="AF37" s="3204">
        <v>105</v>
      </c>
      <c r="AG37" s="3202">
        <v>105</v>
      </c>
      <c r="AH37" s="3203">
        <v>105</v>
      </c>
      <c r="AI37" s="3598">
        <v>105</v>
      </c>
      <c r="AJ37" s="3597">
        <v>105</v>
      </c>
      <c r="AK37">
        <v>105</v>
      </c>
      <c r="AL37" s="3208">
        <v>0</v>
      </c>
      <c r="AM37" s="3202">
        <v>0</v>
      </c>
      <c r="AN37" s="3209">
        <v>0</v>
      </c>
      <c r="AO37" s="3598">
        <v>105</v>
      </c>
      <c r="AP37" s="3597">
        <v>105</v>
      </c>
      <c r="AQ37" s="3599">
        <v>105</v>
      </c>
      <c r="AR37" s="3205">
        <v>105</v>
      </c>
      <c r="AS37" s="3202">
        <v>105</v>
      </c>
      <c r="AT37" s="3203">
        <v>105</v>
      </c>
      <c r="AU37" s="3598">
        <v>105</v>
      </c>
      <c r="AV37" s="3597">
        <v>105</v>
      </c>
      <c r="AW37" s="3599">
        <v>105</v>
      </c>
      <c r="AX37" s="3204">
        <v>105</v>
      </c>
      <c r="AY37" s="3202">
        <v>105</v>
      </c>
      <c r="AZ37" s="3203">
        <v>105</v>
      </c>
      <c r="BA37" s="3205">
        <v>105</v>
      </c>
      <c r="BB37" s="3202">
        <v>105</v>
      </c>
      <c r="BC37" s="3203">
        <v>105</v>
      </c>
      <c r="BD37" s="3205">
        <v>105</v>
      </c>
      <c r="BE37" s="3202">
        <v>105</v>
      </c>
      <c r="BF37" s="3203">
        <v>105</v>
      </c>
      <c r="BG37" s="3205">
        <v>105</v>
      </c>
      <c r="BH37" s="3202">
        <v>105</v>
      </c>
      <c r="BI37" s="3203">
        <v>105</v>
      </c>
      <c r="BJ37" s="3209">
        <v>105</v>
      </c>
      <c r="BK37" s="3203">
        <v>105</v>
      </c>
      <c r="BL37" s="3203">
        <v>105</v>
      </c>
      <c r="BM37" s="3203">
        <v>105</v>
      </c>
      <c r="BN37" s="3203">
        <v>105</v>
      </c>
      <c r="BO37" s="3203">
        <v>105</v>
      </c>
      <c r="BP37" s="3206">
        <v>105</v>
      </c>
      <c r="BQ37" s="3206">
        <v>105</v>
      </c>
      <c r="BR37" s="3203">
        <v>0</v>
      </c>
      <c r="BS37" s="3203">
        <v>0</v>
      </c>
      <c r="BT37" s="3203">
        <v>0</v>
      </c>
      <c r="BU37" s="3203">
        <v>105</v>
      </c>
      <c r="BV37" s="3203">
        <v>105</v>
      </c>
      <c r="BW37" s="3203">
        <v>105</v>
      </c>
      <c r="BX37" s="3203">
        <v>105</v>
      </c>
      <c r="BY37" s="3203">
        <v>105</v>
      </c>
      <c r="BZ37" s="3203">
        <v>105</v>
      </c>
      <c r="CA37" s="3203">
        <v>105</v>
      </c>
      <c r="CB37" s="3203">
        <v>105</v>
      </c>
      <c r="CC37" s="3203">
        <v>105</v>
      </c>
      <c r="CD37" s="3203">
        <v>105</v>
      </c>
      <c r="CE37" s="3203">
        <v>105</v>
      </c>
      <c r="CF37" s="3203">
        <v>105</v>
      </c>
      <c r="CG37" s="3203">
        <v>105</v>
      </c>
      <c r="CH37" s="3203">
        <v>105</v>
      </c>
      <c r="CI37" s="3203">
        <v>105</v>
      </c>
      <c r="CJ37" s="3203">
        <v>105</v>
      </c>
      <c r="CK37" s="3203">
        <v>105</v>
      </c>
      <c r="CL37" s="3203">
        <v>105</v>
      </c>
      <c r="CM37" s="3203">
        <v>105</v>
      </c>
      <c r="CN37" s="3203">
        <v>105</v>
      </c>
      <c r="CO37" s="3203">
        <v>105</v>
      </c>
    </row>
    <row r="38" spans="2:93" ht="15.75" x14ac:dyDescent="0.2">
      <c r="B38" s="3371" t="s">
        <v>1416</v>
      </c>
      <c r="C38" s="3372"/>
      <c r="D38" s="3383" t="s">
        <v>1058</v>
      </c>
      <c r="E38" s="3384">
        <v>571.71044882154888</v>
      </c>
      <c r="F38" s="3385">
        <v>654.81513632154883</v>
      </c>
      <c r="G38" s="3386">
        <v>724.40467382154884</v>
      </c>
      <c r="H38" s="3763">
        <v>864.89373291245784</v>
      </c>
      <c r="I38" s="3764">
        <v>743.76127499999996</v>
      </c>
      <c r="J38" s="3764">
        <v>951.53534546657056</v>
      </c>
      <c r="K38" s="3765">
        <v>1075.0838583453583</v>
      </c>
      <c r="L38" s="3766">
        <v>715.90277500000002</v>
      </c>
      <c r="M38">
        <v>672.7247819618724</v>
      </c>
      <c r="N38">
        <v>874.48933910316237</v>
      </c>
      <c r="O38" s="3389">
        <v>902.03250303030302</v>
      </c>
      <c r="P38" s="3642">
        <v>550.66358333333335</v>
      </c>
      <c r="Q38" s="3643">
        <v>648.35933333333332</v>
      </c>
      <c r="R38" s="3644">
        <v>700.33433333333335</v>
      </c>
      <c r="S38" s="3763">
        <v>879.50933180765992</v>
      </c>
      <c r="T38" s="3765">
        <v>906.86265212015996</v>
      </c>
      <c r="U38">
        <v>934.21597243266001</v>
      </c>
      <c r="V38" s="3643">
        <v>879.50933180765992</v>
      </c>
      <c r="W38" s="3642">
        <v>915.98042555765994</v>
      </c>
      <c r="X38">
        <v>957.44230055766002</v>
      </c>
      <c r="Y38" s="3387">
        <v>1219.0976478195503</v>
      </c>
      <c r="Z38" s="3385">
        <v>1275.2253404139433</v>
      </c>
      <c r="AA38" s="3386">
        <v>1322.3977354876754</v>
      </c>
      <c r="AB38">
        <v>1042.1449453402113</v>
      </c>
      <c r="AC38" s="3642">
        <v>1088.1173404139433</v>
      </c>
      <c r="AD38" s="3644">
        <v>1150.7032520166008</v>
      </c>
      <c r="AE38" s="3390"/>
      <c r="AF38" s="3387">
        <v>1021.8676177248677</v>
      </c>
      <c r="AG38" s="3385">
        <v>1062.0453146945647</v>
      </c>
      <c r="AH38" s="3386">
        <v>1068.2030116642618</v>
      </c>
      <c r="AI38" s="3643">
        <v>993.61515711880713</v>
      </c>
      <c r="AJ38" s="3642">
        <v>1041.3261722703223</v>
      </c>
      <c r="AK38">
        <v>1089.0371874218374</v>
      </c>
      <c r="AL38" s="3391">
        <v>95.823000000000008</v>
      </c>
      <c r="AM38" s="3385">
        <v>103.19399999999999</v>
      </c>
      <c r="AN38" s="3392">
        <v>110.56500000000001</v>
      </c>
      <c r="AO38" s="3643">
        <v>933.88733272486775</v>
      </c>
      <c r="AP38" s="3642">
        <v>958.39491022486777</v>
      </c>
      <c r="AQ38" s="3644">
        <v>982.9024877248678</v>
      </c>
      <c r="AR38" s="3388">
        <v>872.52041687016686</v>
      </c>
      <c r="AS38" s="3385">
        <v>888.70813674196177</v>
      </c>
      <c r="AT38" s="3386">
        <v>904.89585661375668</v>
      </c>
      <c r="AU38" s="3643">
        <v>842.96448439153437</v>
      </c>
      <c r="AV38" s="3642">
        <v>856.02485105820108</v>
      </c>
      <c r="AW38" s="3644">
        <v>869.08521772486779</v>
      </c>
      <c r="AX38" s="3387">
        <v>776.376212962963</v>
      </c>
      <c r="AY38" s="3385">
        <v>776.376212962963</v>
      </c>
      <c r="AZ38" s="3386">
        <v>776.376212962963</v>
      </c>
      <c r="BA38" s="3388">
        <v>1029.052657118807</v>
      </c>
      <c r="BB38" s="3385">
        <v>1086.5185003006254</v>
      </c>
      <c r="BC38" s="3386">
        <v>1143.5590934824436</v>
      </c>
      <c r="BD38" s="3388">
        <v>750.70429629629632</v>
      </c>
      <c r="BE38" s="3385">
        <v>750.70429629629632</v>
      </c>
      <c r="BF38" s="3386">
        <v>750.70429629629632</v>
      </c>
      <c r="BG38" s="3388">
        <v>961.09226772486772</v>
      </c>
      <c r="BH38" s="3385">
        <v>998.43714772486783</v>
      </c>
      <c r="BI38" s="3386">
        <v>1035.7820277248677</v>
      </c>
      <c r="BJ38" s="3392">
        <v>873.25553872053877</v>
      </c>
      <c r="BK38" s="3386">
        <v>873.25553872053877</v>
      </c>
      <c r="BL38" s="3386">
        <v>873.25553872053877</v>
      </c>
      <c r="BM38" s="3386">
        <v>1306.8986099103784</v>
      </c>
      <c r="BN38" s="3386">
        <v>1345.4933696028916</v>
      </c>
      <c r="BO38" s="3386">
        <v>1380.6603565681323</v>
      </c>
      <c r="BP38" s="3389">
        <v>464.2847935185186</v>
      </c>
      <c r="BQ38" s="3389">
        <v>798.00415566943957</v>
      </c>
      <c r="BR38" s="3386">
        <v>179.87508</v>
      </c>
      <c r="BS38" s="3386">
        <v>192.71649600000001</v>
      </c>
      <c r="BT38" s="3386">
        <v>205.55791200000002</v>
      </c>
      <c r="BU38" s="3386">
        <v>1176.6158223421985</v>
      </c>
      <c r="BV38" s="3386">
        <v>1217.0484864788209</v>
      </c>
      <c r="BW38" s="3386">
        <v>1265.0662815452347</v>
      </c>
      <c r="BX38" s="3386">
        <v>1013.7478138032991</v>
      </c>
      <c r="BY38" s="3386">
        <v>1082.1977726268285</v>
      </c>
      <c r="BZ38" s="3386">
        <v>1150.6477314503582</v>
      </c>
      <c r="CA38" s="3386">
        <v>1001.5711123915344</v>
      </c>
      <c r="CB38" s="3386">
        <v>1051.9539443915344</v>
      </c>
      <c r="CC38" s="3386">
        <v>1102.3367763915344</v>
      </c>
      <c r="CD38" s="3386">
        <v>1013.7478138032991</v>
      </c>
      <c r="CE38" s="3386">
        <v>1082.1977726268285</v>
      </c>
      <c r="CF38" s="3386">
        <v>1150.6477314503582</v>
      </c>
      <c r="CG38" s="3386">
        <v>1193.1073999513067</v>
      </c>
      <c r="CH38" s="3386">
        <v>1228.9594181676255</v>
      </c>
      <c r="CI38" s="3386">
        <v>1260.9712815452347</v>
      </c>
      <c r="CJ38" s="3386">
        <v>1013.7478138032991</v>
      </c>
      <c r="CK38" s="3386">
        <v>1082.1977726268285</v>
      </c>
      <c r="CL38" s="3386">
        <v>1150.6477314503582</v>
      </c>
      <c r="CM38" s="3386">
        <v>902.71794153439146</v>
      </c>
      <c r="CN38" s="3386">
        <v>970.1949486772487</v>
      </c>
      <c r="CO38" s="3386">
        <v>1037.6719558201057</v>
      </c>
    </row>
    <row r="39" spans="2:93" ht="16.5" x14ac:dyDescent="0.2">
      <c r="B39" s="3393"/>
      <c r="C39" s="3394"/>
      <c r="D39" s="3395"/>
      <c r="E39" s="3396"/>
      <c r="F39" s="3396"/>
      <c r="G39" s="3396"/>
      <c r="H39" s="3714"/>
      <c r="I39" s="3714"/>
      <c r="J39" s="3714"/>
      <c r="K39" s="3712"/>
      <c r="L39" s="3714"/>
      <c r="O39" s="3396"/>
      <c r="P39" s="3645"/>
      <c r="Q39" s="3645"/>
      <c r="R39" s="3646"/>
      <c r="S39"/>
      <c r="T39" s="3714"/>
      <c r="U39" s="3714"/>
      <c r="V39" s="3645"/>
      <c r="W39" s="3645"/>
      <c r="X39" s="3645"/>
      <c r="Y39" s="3396"/>
      <c r="Z39" s="3396"/>
      <c r="AA39" s="3396"/>
      <c r="AB39" s="3645"/>
      <c r="AC39" s="3645"/>
      <c r="AD39" s="3646"/>
      <c r="AE39" s="3222"/>
      <c r="AF39" s="3398"/>
      <c r="AG39" s="3396"/>
      <c r="AH39" s="3396"/>
      <c r="AI39" s="3645"/>
      <c r="AJ39" s="3645"/>
      <c r="AK39" s="3645"/>
      <c r="AL39" s="3396"/>
      <c r="AM39" s="3396"/>
      <c r="AN39" s="3396"/>
      <c r="AO39" s="3645"/>
      <c r="AP39" s="3645"/>
      <c r="AQ39" s="3645"/>
      <c r="AR39" s="3396"/>
      <c r="AS39" s="3396"/>
      <c r="AT39" s="3396"/>
      <c r="AU39" s="3645"/>
      <c r="AV39" s="3645"/>
      <c r="AW39" s="3646"/>
      <c r="AX39" s="3398"/>
      <c r="AY39" s="3396"/>
      <c r="AZ39" s="3396"/>
      <c r="BA39" s="3396"/>
      <c r="BB39" s="3396"/>
      <c r="BC39" s="3396"/>
      <c r="BD39" s="3396"/>
      <c r="BE39" s="3396"/>
      <c r="BF39" s="3396"/>
      <c r="BG39" s="3396"/>
      <c r="BH39" s="3396"/>
      <c r="BI39" s="3397"/>
      <c r="BJ39" s="3396"/>
      <c r="BK39" s="3396"/>
      <c r="BL39" s="3396"/>
      <c r="BM39" s="3396"/>
      <c r="BN39" s="3396"/>
      <c r="BO39" s="3397"/>
      <c r="BP39" s="3398"/>
      <c r="BQ39" s="3397"/>
      <c r="BR39" s="3396"/>
      <c r="BS39" s="3396"/>
      <c r="BT39" s="3396"/>
      <c r="BU39" s="3396"/>
      <c r="BV39" s="3396"/>
      <c r="BW39" s="3396"/>
      <c r="BX39" s="3396"/>
      <c r="BY39" s="3396"/>
      <c r="BZ39" s="3396"/>
      <c r="CA39" s="3396"/>
      <c r="CB39" s="3396"/>
      <c r="CC39" s="3396"/>
      <c r="CD39" s="3396"/>
      <c r="CE39" s="3396"/>
      <c r="CF39" s="3396"/>
      <c r="CG39" s="3396"/>
      <c r="CH39" s="3396"/>
      <c r="CI39" s="3396"/>
      <c r="CJ39" s="3396"/>
      <c r="CK39" s="3396"/>
      <c r="CL39" s="3396"/>
      <c r="CM39" s="3396"/>
      <c r="CN39" s="3396"/>
      <c r="CO39" s="3397"/>
    </row>
    <row r="40" spans="2:93" ht="18" x14ac:dyDescent="0.2">
      <c r="B40" s="3399" t="s">
        <v>1417</v>
      </c>
      <c r="C40" s="3400"/>
      <c r="D40" s="3401" t="s">
        <v>1058</v>
      </c>
      <c r="E40" s="3288">
        <v>0</v>
      </c>
      <c r="F40" s="3289">
        <v>0</v>
      </c>
      <c r="G40" s="3290">
        <v>0</v>
      </c>
      <c r="H40" s="3731">
        <v>0</v>
      </c>
      <c r="I40" s="3732">
        <v>0</v>
      </c>
      <c r="J40" s="3732">
        <v>0</v>
      </c>
      <c r="K40" s="3733">
        <v>0</v>
      </c>
      <c r="L40" s="3734">
        <v>0</v>
      </c>
      <c r="M40">
        <v>0</v>
      </c>
      <c r="N40">
        <v>0</v>
      </c>
      <c r="O40" s="3293">
        <v>0</v>
      </c>
      <c r="P40" s="3617">
        <v>0</v>
      </c>
      <c r="Q40" s="3618">
        <v>0</v>
      </c>
      <c r="R40" s="3619">
        <v>0</v>
      </c>
      <c r="S40" s="3731">
        <v>0</v>
      </c>
      <c r="T40" s="3733">
        <v>0</v>
      </c>
      <c r="U40">
        <v>0</v>
      </c>
      <c r="V40" s="3618">
        <v>0</v>
      </c>
      <c r="W40" s="3617">
        <v>0</v>
      </c>
      <c r="X40">
        <v>0</v>
      </c>
      <c r="Y40" s="3291">
        <v>0</v>
      </c>
      <c r="Z40" s="3289">
        <v>0</v>
      </c>
      <c r="AA40" s="3290">
        <v>0</v>
      </c>
      <c r="AB40">
        <v>0</v>
      </c>
      <c r="AC40" s="3617">
        <v>0</v>
      </c>
      <c r="AD40" s="3619">
        <v>0</v>
      </c>
      <c r="AE40" s="3325"/>
      <c r="AF40" s="3291">
        <v>0</v>
      </c>
      <c r="AG40" s="3289">
        <v>0</v>
      </c>
      <c r="AH40" s="3290">
        <v>0</v>
      </c>
      <c r="AI40" s="3618">
        <v>0</v>
      </c>
      <c r="AJ40" s="3617">
        <v>0</v>
      </c>
      <c r="AK40">
        <v>0</v>
      </c>
      <c r="AL40" s="3402">
        <v>0</v>
      </c>
      <c r="AM40" s="3289">
        <v>0</v>
      </c>
      <c r="AN40" s="3403">
        <v>0</v>
      </c>
      <c r="AO40" s="3618">
        <v>0</v>
      </c>
      <c r="AP40" s="3617">
        <v>0</v>
      </c>
      <c r="AQ40" s="3619">
        <v>0</v>
      </c>
      <c r="AR40" s="3292">
        <v>0</v>
      </c>
      <c r="AS40" s="3289">
        <v>0</v>
      </c>
      <c r="AT40" s="3290">
        <v>0</v>
      </c>
      <c r="AU40" s="3618">
        <v>0</v>
      </c>
      <c r="AV40" s="3617">
        <v>0</v>
      </c>
      <c r="AW40" s="3619">
        <v>0</v>
      </c>
      <c r="AX40" s="3291">
        <v>0</v>
      </c>
      <c r="AY40" s="3289">
        <v>0</v>
      </c>
      <c r="AZ40" s="3290">
        <v>0</v>
      </c>
      <c r="BA40" s="3292">
        <v>0</v>
      </c>
      <c r="BB40" s="3289">
        <v>0</v>
      </c>
      <c r="BC40" s="3290">
        <v>0</v>
      </c>
      <c r="BD40" s="3292">
        <v>0</v>
      </c>
      <c r="BE40" s="3289">
        <v>0</v>
      </c>
      <c r="BF40" s="3290">
        <v>0</v>
      </c>
      <c r="BG40" s="3292">
        <v>0</v>
      </c>
      <c r="BH40" s="3289">
        <v>0</v>
      </c>
      <c r="BI40" s="3290">
        <v>0</v>
      </c>
      <c r="BJ40" s="3403">
        <v>0</v>
      </c>
      <c r="BK40" s="3290">
        <v>0</v>
      </c>
      <c r="BL40" s="3290">
        <v>0</v>
      </c>
      <c r="BM40" s="3290">
        <v>0</v>
      </c>
      <c r="BN40" s="3290">
        <v>0</v>
      </c>
      <c r="BO40" s="3290">
        <v>0</v>
      </c>
      <c r="BP40" s="3293">
        <v>0</v>
      </c>
      <c r="BQ40" s="3293">
        <v>0</v>
      </c>
      <c r="BR40" s="3290">
        <v>0</v>
      </c>
      <c r="BS40" s="3290">
        <v>0</v>
      </c>
      <c r="BT40" s="3290">
        <v>0</v>
      </c>
      <c r="BU40" s="3290">
        <v>0</v>
      </c>
      <c r="BV40" s="3290">
        <v>0</v>
      </c>
      <c r="BW40" s="3290">
        <v>0</v>
      </c>
      <c r="BX40" s="3290">
        <v>0</v>
      </c>
      <c r="BY40" s="3290">
        <v>0</v>
      </c>
      <c r="BZ40" s="3290">
        <v>0</v>
      </c>
      <c r="CA40" s="3290">
        <v>0</v>
      </c>
      <c r="CB40" s="3290">
        <v>0</v>
      </c>
      <c r="CC40" s="3290">
        <v>0</v>
      </c>
      <c r="CD40" s="3290">
        <v>0</v>
      </c>
      <c r="CE40" s="3290">
        <v>0</v>
      </c>
      <c r="CF40" s="3290">
        <v>0</v>
      </c>
      <c r="CG40" s="3290">
        <v>0</v>
      </c>
      <c r="CH40" s="3290">
        <v>0</v>
      </c>
      <c r="CI40" s="3290">
        <v>0</v>
      </c>
      <c r="CJ40" s="3290">
        <v>0</v>
      </c>
      <c r="CK40" s="3290">
        <v>0</v>
      </c>
      <c r="CL40" s="3290">
        <v>0</v>
      </c>
      <c r="CM40" s="3290">
        <v>0</v>
      </c>
      <c r="CN40" s="3290">
        <v>0</v>
      </c>
      <c r="CO40" s="3290">
        <v>0</v>
      </c>
    </row>
    <row r="41" spans="2:93" ht="18" x14ac:dyDescent="0.2">
      <c r="B41" s="3399" t="s">
        <v>87</v>
      </c>
      <c r="C41" s="3400"/>
      <c r="D41" s="3401" t="s">
        <v>1058</v>
      </c>
      <c r="E41" s="3288">
        <v>968.83800473299596</v>
      </c>
      <c r="F41" s="3289">
        <v>1115.3605782434124</v>
      </c>
      <c r="G41" s="3290">
        <v>1492.9562456277745</v>
      </c>
      <c r="H41" s="3731">
        <v>1354.7408046434737</v>
      </c>
      <c r="I41" s="3732">
        <v>1472.264712021692</v>
      </c>
      <c r="J41" s="3732">
        <v>1460.5058911053952</v>
      </c>
      <c r="K41" s="3733">
        <v>1914.718662571094</v>
      </c>
      <c r="L41" s="3734">
        <v>1587.2774058198656</v>
      </c>
      <c r="M41">
        <v>1092.0625159740814</v>
      </c>
      <c r="N41">
        <v>1467.8479068838483</v>
      </c>
      <c r="O41" s="3293">
        <v>3472.999903927192</v>
      </c>
      <c r="P41" s="3617">
        <v>810.93843931388233</v>
      </c>
      <c r="Q41" s="3618">
        <v>1131.8306449347842</v>
      </c>
      <c r="R41" s="3619">
        <v>1217.6919470181176</v>
      </c>
      <c r="S41" s="3731">
        <v>1417.7875662382346</v>
      </c>
      <c r="T41" s="3733">
        <v>1515.5946268358909</v>
      </c>
      <c r="U41">
        <v>1613.4016874335473</v>
      </c>
      <c r="V41" s="3618">
        <v>1450.4575662382347</v>
      </c>
      <c r="W41" s="3617">
        <v>1590.1436470351096</v>
      </c>
      <c r="X41">
        <v>1751.9802792392763</v>
      </c>
      <c r="Y41" s="3291">
        <v>1868.580196965017</v>
      </c>
      <c r="Z41" s="3289">
        <v>2032.962593145578</v>
      </c>
      <c r="AA41" s="3290">
        <v>2188.3896918054784</v>
      </c>
      <c r="AB41">
        <v>1768.8507029388561</v>
      </c>
      <c r="AC41" s="3617">
        <v>1887.3661949536313</v>
      </c>
      <c r="AD41" s="3619">
        <v>2043.0785856584102</v>
      </c>
      <c r="AE41" s="3325"/>
      <c r="AF41" s="3291">
        <v>2032.3187603334104</v>
      </c>
      <c r="AG41" s="3289">
        <v>2163.7516797418657</v>
      </c>
      <c r="AH41" s="3290">
        <v>2241.368622697968</v>
      </c>
      <c r="AI41" s="3618">
        <v>1994.5739893494151</v>
      </c>
      <c r="AJ41" s="3617">
        <v>2147.5392890138305</v>
      </c>
      <c r="AK41">
        <v>2300.119322258246</v>
      </c>
      <c r="AL41" s="3402">
        <v>307.59380393333333</v>
      </c>
      <c r="AM41" s="3289">
        <v>345.05539530666664</v>
      </c>
      <c r="AN41" s="3403">
        <v>386.01338251333334</v>
      </c>
      <c r="AO41" s="3618">
        <v>1644.5580621141494</v>
      </c>
      <c r="AP41" s="3617">
        <v>1768.8119654156767</v>
      </c>
      <c r="AQ41" s="3619">
        <v>1862.8820779005373</v>
      </c>
      <c r="AR41" s="3292">
        <v>1773.0622256997797</v>
      </c>
      <c r="AS41" s="3289">
        <v>1854.576128458647</v>
      </c>
      <c r="AT41" s="3290">
        <v>1936.090031217514</v>
      </c>
      <c r="AU41" s="3618">
        <v>1805.0142311528327</v>
      </c>
      <c r="AV41" s="3617">
        <v>1895.6728369789348</v>
      </c>
      <c r="AW41" s="3619">
        <v>1986.3314428050369</v>
      </c>
      <c r="AX41" s="3291">
        <v>1288.7244236932768</v>
      </c>
      <c r="AY41" s="3289">
        <v>1327.4476719932768</v>
      </c>
      <c r="AZ41" s="3290">
        <v>1366.170920293277</v>
      </c>
      <c r="BA41" s="3292">
        <v>1798.8624043083755</v>
      </c>
      <c r="BB41" s="3289">
        <v>1926.6233274562726</v>
      </c>
      <c r="BC41" s="3290">
        <v>2053.7523555016396</v>
      </c>
      <c r="BD41" s="3292">
        <v>1113.1892735855513</v>
      </c>
      <c r="BE41" s="3289">
        <v>1175.3733515855511</v>
      </c>
      <c r="BF41" s="3290">
        <v>1207.5595129188846</v>
      </c>
      <c r="BG41" s="3292">
        <v>1551.0407736606801</v>
      </c>
      <c r="BH41" s="3289">
        <v>1657.7457707233248</v>
      </c>
      <c r="BI41" s="3290">
        <v>1760.1653511193031</v>
      </c>
      <c r="BJ41" s="3403">
        <v>1161.7599981643427</v>
      </c>
      <c r="BK41" s="3290">
        <v>1184.8559739976761</v>
      </c>
      <c r="BL41" s="3290">
        <v>1207.9519498310094</v>
      </c>
      <c r="BM41" s="3290">
        <v>1921.5922976560532</v>
      </c>
      <c r="BN41" s="3290">
        <v>2013.9468442981838</v>
      </c>
      <c r="BO41" s="3290">
        <v>2102.8736182130419</v>
      </c>
      <c r="BP41" s="3293">
        <v>596.1074525303676</v>
      </c>
      <c r="BQ41" s="3293">
        <v>1198.8980126336742</v>
      </c>
      <c r="BR41" s="3290">
        <v>655.99951265385482</v>
      </c>
      <c r="BS41" s="3290">
        <v>703.84354806853958</v>
      </c>
      <c r="BT41" s="3290">
        <v>751.68758348322433</v>
      </c>
      <c r="BU41" s="3290">
        <v>2299.7669535694636</v>
      </c>
      <c r="BV41" s="3290">
        <v>2410.0115452073414</v>
      </c>
      <c r="BW41" s="3290">
        <v>2542.493076881191</v>
      </c>
      <c r="BX41" s="3290">
        <v>1800.5907627340841</v>
      </c>
      <c r="BY41" s="3290">
        <v>1962.7002717167393</v>
      </c>
      <c r="BZ41" s="3290">
        <v>2124.8097806993947</v>
      </c>
      <c r="CA41" s="3290">
        <v>1679.0102093393257</v>
      </c>
      <c r="CB41" s="3290">
        <v>1792.2675111936951</v>
      </c>
      <c r="CC41" s="3290">
        <v>1905.5248130480645</v>
      </c>
      <c r="CD41" s="3290">
        <v>1699.7610190674177</v>
      </c>
      <c r="CE41" s="3290">
        <v>1849.5195216167394</v>
      </c>
      <c r="CF41" s="3290">
        <v>1999.2780241660612</v>
      </c>
      <c r="CG41" s="3290">
        <v>2249.5123848506687</v>
      </c>
      <c r="CH41" s="3290">
        <v>2392.0978148441668</v>
      </c>
      <c r="CI41" s="3290">
        <v>2500.8451733322891</v>
      </c>
      <c r="CJ41" s="3290">
        <v>1699.7610190674177</v>
      </c>
      <c r="CK41" s="3290">
        <v>1849.5195216167394</v>
      </c>
      <c r="CL41" s="3290">
        <v>1999.2780241660612</v>
      </c>
      <c r="CM41" s="3290">
        <v>1768.6831665259008</v>
      </c>
      <c r="CN41" s="3290">
        <v>1905.8686530945504</v>
      </c>
      <c r="CO41" s="3290">
        <v>2043.0541396631997</v>
      </c>
    </row>
    <row r="42" spans="2:93" ht="19.5" x14ac:dyDescent="0.2">
      <c r="B42" s="3404" t="s">
        <v>1418</v>
      </c>
      <c r="C42" s="3405"/>
      <c r="D42" s="3406" t="s">
        <v>1058</v>
      </c>
      <c r="E42" s="3407">
        <v>-968.83800473299596</v>
      </c>
      <c r="F42" s="3408">
        <v>-1115.3605782434124</v>
      </c>
      <c r="G42" s="3409">
        <v>-1492.9562456277745</v>
      </c>
      <c r="H42" s="3767">
        <v>-1354.7408046434737</v>
      </c>
      <c r="I42" s="3768">
        <v>-1472.264712021692</v>
      </c>
      <c r="J42" s="3768">
        <v>-1460.5058911053952</v>
      </c>
      <c r="K42" s="3769">
        <v>-1914.718662571094</v>
      </c>
      <c r="L42">
        <v>-1587.2774058198656</v>
      </c>
      <c r="M42">
        <v>-1092.0625159740814</v>
      </c>
      <c r="N42">
        <v>-1467.8479068838483</v>
      </c>
      <c r="O42" s="3412">
        <v>-3472.999903927192</v>
      </c>
      <c r="P42" s="3647">
        <v>-810.93843931388233</v>
      </c>
      <c r="Q42" s="3648">
        <v>-1131.8306449347842</v>
      </c>
      <c r="R42" s="3649">
        <v>-1217.6919470181176</v>
      </c>
      <c r="S42" s="3767">
        <v>-1417.7875662382346</v>
      </c>
      <c r="T42" s="3769">
        <v>-1515.5946268358909</v>
      </c>
      <c r="U42">
        <v>-1613.4016874335473</v>
      </c>
      <c r="V42" s="3648">
        <v>-1450.4575662382347</v>
      </c>
      <c r="W42" s="3647">
        <v>-1590.1436470351096</v>
      </c>
      <c r="X42">
        <v>-1751.9802792392763</v>
      </c>
      <c r="Y42" s="3410">
        <v>-1868.580196965017</v>
      </c>
      <c r="Z42" s="3408">
        <v>-2032.962593145578</v>
      </c>
      <c r="AA42" s="3409">
        <v>-2188.3896918054784</v>
      </c>
      <c r="AB42">
        <v>-1768.8507029388561</v>
      </c>
      <c r="AC42" s="3647">
        <v>-1887.3661949536313</v>
      </c>
      <c r="AD42" s="3649">
        <v>-2043.0785856584102</v>
      </c>
      <c r="AE42" s="3413"/>
      <c r="AF42" s="3410">
        <v>-2032.3187603334104</v>
      </c>
      <c r="AG42" s="3408">
        <v>-2163.7516797418657</v>
      </c>
      <c r="AH42" s="3409">
        <v>-2241.368622697968</v>
      </c>
      <c r="AI42" s="3648">
        <v>-1994.5739893494151</v>
      </c>
      <c r="AJ42" s="3647">
        <v>-2147.5392890138305</v>
      </c>
      <c r="AK42">
        <v>-2300.119322258246</v>
      </c>
      <c r="AL42" s="3414">
        <v>-307.59380393333333</v>
      </c>
      <c r="AM42" s="3408">
        <v>-345.05539530666664</v>
      </c>
      <c r="AN42" s="3415">
        <v>-386.01338251333334</v>
      </c>
      <c r="AO42" s="3648">
        <v>-1644.5580621141494</v>
      </c>
      <c r="AP42" s="3647">
        <v>-1768.8119654156767</v>
      </c>
      <c r="AQ42" s="3649">
        <v>-1862.8820779005373</v>
      </c>
      <c r="AR42" s="3411">
        <v>-1773.0622256997797</v>
      </c>
      <c r="AS42" s="3408">
        <v>-1854.576128458647</v>
      </c>
      <c r="AT42" s="3409">
        <v>-1936.090031217514</v>
      </c>
      <c r="AU42" s="3648">
        <v>-1805.0142311528327</v>
      </c>
      <c r="AV42" s="3647">
        <v>-1895.6728369789348</v>
      </c>
      <c r="AW42" s="3649">
        <v>-1986.3314428050369</v>
      </c>
      <c r="AX42" s="3410">
        <v>-1288.7244236932768</v>
      </c>
      <c r="AY42" s="3408">
        <v>-1327.4476719932768</v>
      </c>
      <c r="AZ42" s="3409">
        <v>-1366.170920293277</v>
      </c>
      <c r="BA42" s="3411">
        <v>-1798.8624043083755</v>
      </c>
      <c r="BB42" s="3408">
        <v>-1926.6233274562726</v>
      </c>
      <c r="BC42" s="3409">
        <v>-2053.7523555016396</v>
      </c>
      <c r="BD42" s="3411">
        <v>-1113.1892735855513</v>
      </c>
      <c r="BE42" s="3408">
        <v>-1175.3733515855511</v>
      </c>
      <c r="BF42" s="3409">
        <v>-1207.5595129188846</v>
      </c>
      <c r="BG42" s="3411">
        <v>-1551.0407736606801</v>
      </c>
      <c r="BH42" s="3408">
        <v>-1657.7457707233248</v>
      </c>
      <c r="BI42" s="3409">
        <v>-1760.1653511193031</v>
      </c>
      <c r="BJ42" s="3415">
        <v>-1161.7599981643427</v>
      </c>
      <c r="BK42" s="3409">
        <v>-1184.8559739976761</v>
      </c>
      <c r="BL42" s="3409">
        <v>-1207.9519498310094</v>
      </c>
      <c r="BM42" s="3409">
        <v>-1921.5922976560532</v>
      </c>
      <c r="BN42" s="3409">
        <v>-2013.9468442981838</v>
      </c>
      <c r="BO42" s="3409">
        <v>-2102.8736182130419</v>
      </c>
      <c r="BP42" s="3412">
        <v>-596.1074525303676</v>
      </c>
      <c r="BQ42" s="3412">
        <v>-1198.8980126336742</v>
      </c>
      <c r="BR42" s="3412">
        <v>-655.99951265385482</v>
      </c>
      <c r="BS42" s="3409">
        <v>-703.84354806853958</v>
      </c>
      <c r="BT42" s="3409">
        <v>-751.68758348322433</v>
      </c>
      <c r="BU42" s="3409">
        <v>-2299.7669535694636</v>
      </c>
      <c r="BV42" s="3409">
        <v>-2410.0115452073414</v>
      </c>
      <c r="BW42" s="3409">
        <v>-2542.493076881191</v>
      </c>
      <c r="BX42" s="3409">
        <v>-1800.5907627340841</v>
      </c>
      <c r="BY42" s="3409">
        <v>-1962.7002717167393</v>
      </c>
      <c r="BZ42" s="3409">
        <v>-2124.8097806993947</v>
      </c>
      <c r="CA42" s="3409">
        <v>-1679.0102093393257</v>
      </c>
      <c r="CB42" s="3409">
        <v>-1792.2675111936951</v>
      </c>
      <c r="CC42" s="3409">
        <v>-1905.5248130480645</v>
      </c>
      <c r="CD42" s="3409">
        <v>-1699.7610190674177</v>
      </c>
      <c r="CE42" s="3409">
        <v>-1849.5195216167394</v>
      </c>
      <c r="CF42" s="3409">
        <v>-1999.2780241660612</v>
      </c>
      <c r="CG42" s="3409">
        <v>-2249.5123848506687</v>
      </c>
      <c r="CH42" s="3409">
        <v>-2392.0978148441668</v>
      </c>
      <c r="CI42" s="3409">
        <v>-2500.8451733322891</v>
      </c>
      <c r="CJ42" s="3409">
        <v>-1699.7610190674177</v>
      </c>
      <c r="CK42" s="3409">
        <v>-1849.5195216167394</v>
      </c>
      <c r="CL42" s="3409">
        <v>-1999.2780241660612</v>
      </c>
      <c r="CM42" s="3409">
        <v>-1768.6831665259008</v>
      </c>
      <c r="CN42" s="3409">
        <v>-1905.8686530945504</v>
      </c>
      <c r="CO42" s="3409">
        <v>-2043.0541396631997</v>
      </c>
    </row>
    <row r="43" spans="2:93" ht="18" x14ac:dyDescent="0.2">
      <c r="B43" s="3416" t="s">
        <v>1419</v>
      </c>
      <c r="C43" s="3417"/>
      <c r="D43" s="3401" t="s">
        <v>1058</v>
      </c>
      <c r="E43" s="3288">
        <v>510</v>
      </c>
      <c r="F43" s="3289">
        <v>330</v>
      </c>
      <c r="G43" s="3290">
        <v>313</v>
      </c>
      <c r="H43" s="3731">
        <v>360</v>
      </c>
      <c r="I43" s="3732">
        <v>330</v>
      </c>
      <c r="J43" s="3732">
        <v>330</v>
      </c>
      <c r="K43" s="3733">
        <v>313</v>
      </c>
      <c r="L43" s="3734">
        <v>330</v>
      </c>
      <c r="M43">
        <v>510</v>
      </c>
      <c r="N43">
        <v>480</v>
      </c>
      <c r="O43" s="3293">
        <v>330</v>
      </c>
      <c r="P43" s="3617">
        <v>510</v>
      </c>
      <c r="Q43" s="3618">
        <v>480</v>
      </c>
      <c r="R43" s="3619">
        <v>480</v>
      </c>
      <c r="S43" s="3731">
        <v>360</v>
      </c>
      <c r="T43" s="3733">
        <v>330</v>
      </c>
      <c r="U43">
        <v>313</v>
      </c>
      <c r="V43" s="3618">
        <v>360</v>
      </c>
      <c r="W43" s="3617">
        <v>330</v>
      </c>
      <c r="X43">
        <v>313</v>
      </c>
      <c r="Y43" s="3291">
        <v>360</v>
      </c>
      <c r="Z43" s="3289">
        <v>330</v>
      </c>
      <c r="AA43" s="3290">
        <v>313</v>
      </c>
      <c r="AB43">
        <v>360</v>
      </c>
      <c r="AC43" s="3617">
        <v>330</v>
      </c>
      <c r="AD43" s="3619">
        <v>313</v>
      </c>
      <c r="AE43" s="3325"/>
      <c r="AF43" s="3291">
        <v>340</v>
      </c>
      <c r="AG43" s="3289">
        <v>340</v>
      </c>
      <c r="AH43" s="3290">
        <v>340</v>
      </c>
      <c r="AI43" s="3618">
        <v>270</v>
      </c>
      <c r="AJ43" s="3617">
        <v>270</v>
      </c>
      <c r="AK43">
        <v>270</v>
      </c>
      <c r="AL43" s="3402">
        <v>0</v>
      </c>
      <c r="AM43" s="3289">
        <v>0</v>
      </c>
      <c r="AN43" s="3403">
        <v>0</v>
      </c>
      <c r="AO43" s="3618">
        <v>270</v>
      </c>
      <c r="AP43" s="3617">
        <v>270</v>
      </c>
      <c r="AQ43" s="3619">
        <v>270</v>
      </c>
      <c r="AR43" s="3292">
        <v>270</v>
      </c>
      <c r="AS43" s="3289">
        <v>270</v>
      </c>
      <c r="AT43" s="3290">
        <v>270</v>
      </c>
      <c r="AU43" s="3618">
        <v>270</v>
      </c>
      <c r="AV43" s="3617">
        <v>270</v>
      </c>
      <c r="AW43" s="3619">
        <v>270</v>
      </c>
      <c r="AX43" s="3291">
        <v>270</v>
      </c>
      <c r="AY43" s="3289">
        <v>270</v>
      </c>
      <c r="AZ43" s="3290">
        <v>270</v>
      </c>
      <c r="BA43" s="3292">
        <v>270</v>
      </c>
      <c r="BB43" s="3289">
        <v>270</v>
      </c>
      <c r="BC43" s="3290">
        <v>270</v>
      </c>
      <c r="BD43" s="3292">
        <v>270</v>
      </c>
      <c r="BE43" s="3289">
        <v>270</v>
      </c>
      <c r="BF43" s="3290">
        <v>270</v>
      </c>
      <c r="BG43" s="3292">
        <v>270</v>
      </c>
      <c r="BH43" s="3289">
        <v>270</v>
      </c>
      <c r="BI43" s="3290">
        <v>270</v>
      </c>
      <c r="BJ43" s="3403">
        <v>360</v>
      </c>
      <c r="BK43" s="3290">
        <v>330</v>
      </c>
      <c r="BL43" s="3290">
        <v>313</v>
      </c>
      <c r="BM43" s="3290">
        <v>360</v>
      </c>
      <c r="BN43" s="3290">
        <v>330</v>
      </c>
      <c r="BO43" s="3290">
        <v>313</v>
      </c>
      <c r="BP43" s="3293">
        <v>313</v>
      </c>
      <c r="BQ43" s="3293">
        <v>313</v>
      </c>
      <c r="BR43" s="3290">
        <v>0</v>
      </c>
      <c r="BS43" s="3290">
        <v>0</v>
      </c>
      <c r="BT43" s="3290">
        <v>0</v>
      </c>
      <c r="BU43" s="3290">
        <v>270</v>
      </c>
      <c r="BV43" s="3290">
        <v>270</v>
      </c>
      <c r="BW43" s="3290">
        <v>270</v>
      </c>
      <c r="BX43" s="3290">
        <v>270</v>
      </c>
      <c r="BY43" s="3290">
        <v>270</v>
      </c>
      <c r="BZ43" s="3290">
        <v>270</v>
      </c>
      <c r="CA43" s="3290">
        <v>270</v>
      </c>
      <c r="CB43" s="3290">
        <v>270</v>
      </c>
      <c r="CC43" s="3290">
        <v>270</v>
      </c>
      <c r="CD43" s="3290">
        <v>270</v>
      </c>
      <c r="CE43" s="3290">
        <v>270</v>
      </c>
      <c r="CF43" s="3290">
        <v>270</v>
      </c>
      <c r="CG43" s="3290">
        <v>270</v>
      </c>
      <c r="CH43" s="3290">
        <v>270</v>
      </c>
      <c r="CI43" s="3290">
        <v>270</v>
      </c>
      <c r="CJ43" s="3290">
        <v>270</v>
      </c>
      <c r="CK43" s="3290">
        <v>270</v>
      </c>
      <c r="CL43" s="3290">
        <v>270</v>
      </c>
      <c r="CM43" s="3290">
        <v>270</v>
      </c>
      <c r="CN43" s="3290">
        <v>270</v>
      </c>
      <c r="CO43" s="3290">
        <v>270</v>
      </c>
    </row>
    <row r="44" spans="2:93" ht="20.25" hidden="1" thickBot="1" x14ac:dyDescent="0.25">
      <c r="B44" s="3418" t="s">
        <v>1420</v>
      </c>
      <c r="C44" s="3419"/>
      <c r="D44" s="3420" t="s">
        <v>1058</v>
      </c>
      <c r="E44" s="3421">
        <v>-458.83800473299596</v>
      </c>
      <c r="F44" s="3422">
        <v>-785.36057824341242</v>
      </c>
      <c r="G44" s="3423">
        <v>-1179.9562456277745</v>
      </c>
      <c r="H44">
        <v>-994.74080464347367</v>
      </c>
      <c r="I44">
        <v>-1142.264712021692</v>
      </c>
      <c r="J44">
        <v>-1130.5058911053952</v>
      </c>
      <c r="K44">
        <v>-1601.718662571094</v>
      </c>
      <c r="L44">
        <v>-1257.2774058198656</v>
      </c>
      <c r="M44">
        <v>-582.06251597408141</v>
      </c>
      <c r="N44">
        <v>-987.84790688384828</v>
      </c>
      <c r="O44" s="3426">
        <v>-3142.999903927192</v>
      </c>
      <c r="P44" s="3650">
        <v>-300.93843931388233</v>
      </c>
      <c r="Q44" s="3651">
        <v>-651.83064493478423</v>
      </c>
      <c r="R44" s="3652">
        <v>-737.69194701811762</v>
      </c>
      <c r="S44">
        <v>-1057.7875662382346</v>
      </c>
      <c r="T44">
        <v>-1185.5946268358909</v>
      </c>
      <c r="U44">
        <v>-1300.4016874335473</v>
      </c>
      <c r="V44" s="3651">
        <v>-1090.4575662382347</v>
      </c>
      <c r="W44" s="3650">
        <v>-1260.1436470351096</v>
      </c>
      <c r="X44">
        <v>-1438.9802792392763</v>
      </c>
      <c r="Y44" s="3424">
        <v>-1508.580196965017</v>
      </c>
      <c r="Z44" s="3422">
        <v>-1702.962593145578</v>
      </c>
      <c r="AA44" s="3423">
        <v>-1875.3896918054784</v>
      </c>
      <c r="AB44">
        <v>-1408.8507029388561</v>
      </c>
      <c r="AC44" s="3650">
        <v>-1557.3661949536313</v>
      </c>
      <c r="AD44" s="3652">
        <v>-1730.0785856584102</v>
      </c>
      <c r="AE44" s="3413"/>
      <c r="AF44" s="3424">
        <v>-1692.3187603334104</v>
      </c>
      <c r="AG44" s="3422">
        <v>-1823.7516797418657</v>
      </c>
      <c r="AH44" s="3423">
        <v>-1901.368622697968</v>
      </c>
      <c r="AI44" s="3651">
        <v>-1724.5739893494151</v>
      </c>
      <c r="AJ44" s="3650">
        <v>-1877.5392890138305</v>
      </c>
      <c r="AK44">
        <v>-2030.119322258246</v>
      </c>
      <c r="AL44" s="3427">
        <v>-307.59380393333333</v>
      </c>
      <c r="AM44" s="3422">
        <v>-345.05539530666664</v>
      </c>
      <c r="AN44" s="3428">
        <v>-386.01338251333334</v>
      </c>
      <c r="AO44" s="3651">
        <v>-1374.5580621141494</v>
      </c>
      <c r="AP44" s="3650">
        <v>-1498.8119654156767</v>
      </c>
      <c r="AQ44" s="3652">
        <v>-1592.8820779005373</v>
      </c>
      <c r="AR44" s="3425">
        <v>-1503.0622256997797</v>
      </c>
      <c r="AS44" s="3422">
        <v>-1584.576128458647</v>
      </c>
      <c r="AT44" s="3423">
        <v>-1666.090031217514</v>
      </c>
      <c r="AU44" s="3651">
        <v>-1535.0142311528327</v>
      </c>
      <c r="AV44" s="3650">
        <v>-1625.6728369789348</v>
      </c>
      <c r="AW44" s="3652">
        <v>-1716.3314428050369</v>
      </c>
      <c r="AX44" s="3424">
        <v>-1018.7244236932768</v>
      </c>
      <c r="AY44" s="3422">
        <v>-1057.4476719932768</v>
      </c>
      <c r="AZ44" s="3423">
        <v>-1096.170920293277</v>
      </c>
      <c r="BA44" s="3425">
        <v>-1528.8624043083755</v>
      </c>
      <c r="BB44" s="3422">
        <v>-1656.6233274562726</v>
      </c>
      <c r="BC44" s="3423">
        <v>-1783.7523555016396</v>
      </c>
      <c r="BD44" s="3425">
        <v>-843.18927358555129</v>
      </c>
      <c r="BE44" s="3422">
        <v>-905.37335158555106</v>
      </c>
      <c r="BF44" s="3423">
        <v>-937.55951291888459</v>
      </c>
      <c r="BG44" s="3425">
        <v>-1281.0407736606801</v>
      </c>
      <c r="BH44" s="3422">
        <v>-1387.7457707233248</v>
      </c>
      <c r="BI44" s="3423">
        <v>-1490.1653511193031</v>
      </c>
      <c r="BJ44" s="3428">
        <v>-801.75999816434273</v>
      </c>
      <c r="BK44" s="3423">
        <v>-854.85597399767607</v>
      </c>
      <c r="BL44" s="3423">
        <v>-894.95194983100941</v>
      </c>
      <c r="BM44" s="3423">
        <v>-1561.5922976560532</v>
      </c>
      <c r="BN44" s="3423">
        <v>-1683.9468442981838</v>
      </c>
      <c r="BO44" s="3423">
        <v>-1789.8736182130419</v>
      </c>
      <c r="BP44" s="3426">
        <v>-283.1074525303676</v>
      </c>
      <c r="BQ44" s="3426">
        <v>-885.89801263367417</v>
      </c>
      <c r="BR44" s="3423">
        <v>-655.99951265385482</v>
      </c>
      <c r="BS44" s="3423">
        <v>-703.84354806853958</v>
      </c>
      <c r="BT44" s="3423">
        <v>-751.68758348322433</v>
      </c>
      <c r="BU44" s="3423">
        <v>-2029.7669535694636</v>
      </c>
      <c r="BV44" s="3423">
        <v>-2140.0115452073414</v>
      </c>
      <c r="BW44" s="3423">
        <v>-2272.493076881191</v>
      </c>
      <c r="BX44" s="3423">
        <v>-1530.5907627340841</v>
      </c>
      <c r="BY44" s="3423">
        <v>-1692.7002717167393</v>
      </c>
      <c r="BZ44" s="3423">
        <v>-1854.8097806993947</v>
      </c>
      <c r="CA44" s="3423">
        <v>-1409.0102093393257</v>
      </c>
      <c r="CB44" s="3423">
        <v>-1522.2675111936951</v>
      </c>
      <c r="CC44" s="3423">
        <v>-1635.5248130480645</v>
      </c>
      <c r="CD44" s="3423">
        <v>-1429.7610190674177</v>
      </c>
      <c r="CE44" s="3423">
        <v>-1579.5195216167394</v>
      </c>
      <c r="CF44" s="3423">
        <v>-1729.2780241660612</v>
      </c>
      <c r="CG44" s="3423">
        <v>-1979.5123848506687</v>
      </c>
      <c r="CH44" s="3423">
        <v>-2122.0978148441668</v>
      </c>
      <c r="CI44" s="3423">
        <v>-2230.8451733322891</v>
      </c>
      <c r="CJ44" s="3423">
        <v>-1429.7610190674177</v>
      </c>
      <c r="CK44" s="3423">
        <v>-1579.5195216167394</v>
      </c>
      <c r="CL44" s="3423">
        <v>-1729.2780241660612</v>
      </c>
      <c r="CM44" s="3423">
        <v>-1498.6831665259008</v>
      </c>
      <c r="CN44" s="3423">
        <v>-1635.8686530945504</v>
      </c>
      <c r="CO44" s="3423">
        <v>-1773.0541396631997</v>
      </c>
    </row>
    <row r="45" spans="2:93" ht="19.5" x14ac:dyDescent="0.2">
      <c r="B45" s="3429" t="s">
        <v>1421</v>
      </c>
      <c r="C45" s="3430"/>
      <c r="D45" s="3431" t="s">
        <v>1058</v>
      </c>
      <c r="E45" s="3432">
        <v>458.83800473299596</v>
      </c>
      <c r="F45" s="3433">
        <v>785.36057824341242</v>
      </c>
      <c r="G45" s="3434">
        <v>1179.9562456277745</v>
      </c>
      <c r="H45">
        <v>994.74080464347367</v>
      </c>
      <c r="I45">
        <v>1142.264712021692</v>
      </c>
      <c r="J45">
        <v>1130.5058911053952</v>
      </c>
      <c r="K45">
        <v>1601.718662571094</v>
      </c>
      <c r="L45">
        <v>1257.2774058198656</v>
      </c>
      <c r="M45">
        <v>582.06251597408141</v>
      </c>
      <c r="N45">
        <v>987.84790688384828</v>
      </c>
      <c r="O45" s="3437">
        <v>3142.999903927192</v>
      </c>
      <c r="P45" s="3653">
        <v>300.93843931388233</v>
      </c>
      <c r="Q45" s="3654">
        <v>651.83064493478423</v>
      </c>
      <c r="R45" s="3655">
        <v>737.69194701811762</v>
      </c>
      <c r="S45">
        <v>1057.7875662382346</v>
      </c>
      <c r="T45">
        <v>1185.5946268358909</v>
      </c>
      <c r="U45">
        <v>1300.4016874335473</v>
      </c>
      <c r="V45" s="3654">
        <v>1090.4575662382347</v>
      </c>
      <c r="W45" s="3653">
        <v>1260.1436470351096</v>
      </c>
      <c r="X45">
        <v>1438.9802792392763</v>
      </c>
      <c r="Y45" s="3435">
        <v>1508.580196965017</v>
      </c>
      <c r="Z45" s="3433">
        <v>1702.962593145578</v>
      </c>
      <c r="AA45" s="3434">
        <v>1875.3896918054784</v>
      </c>
      <c r="AB45">
        <v>1408.8507029388561</v>
      </c>
      <c r="AC45" s="3653">
        <v>1557.3661949536313</v>
      </c>
      <c r="AD45" s="3655">
        <v>1730.0785856584102</v>
      </c>
      <c r="AE45" s="3413"/>
      <c r="AF45" s="3435">
        <v>1692.3187603334104</v>
      </c>
      <c r="AG45" s="3433">
        <v>1823.7516797418657</v>
      </c>
      <c r="AH45" s="3434">
        <v>1901.368622697968</v>
      </c>
      <c r="AI45" s="3654">
        <v>1724.5739893494151</v>
      </c>
      <c r="AJ45" s="3653">
        <v>1877.5392890138305</v>
      </c>
      <c r="AK45">
        <v>2030.119322258246</v>
      </c>
      <c r="AL45" s="3438">
        <v>307.59380393333333</v>
      </c>
      <c r="AM45" s="3433">
        <v>345.05539530666664</v>
      </c>
      <c r="AN45" s="3439">
        <v>386.01338251333334</v>
      </c>
      <c r="AO45" s="3654">
        <v>1374.5580621141494</v>
      </c>
      <c r="AP45" s="3653">
        <v>1498.8119654156767</v>
      </c>
      <c r="AQ45" s="3655">
        <v>1592.8820779005373</v>
      </c>
      <c r="AR45" s="3436">
        <v>1503.0622256997797</v>
      </c>
      <c r="AS45" s="3433">
        <v>1584.576128458647</v>
      </c>
      <c r="AT45" s="3434">
        <v>1666.090031217514</v>
      </c>
      <c r="AU45" s="3654">
        <v>1535.0142311528327</v>
      </c>
      <c r="AV45" s="3653">
        <v>1625.6728369789348</v>
      </c>
      <c r="AW45" s="3655">
        <v>1716.3314428050369</v>
      </c>
      <c r="AX45" s="3435">
        <v>1018.7244236932768</v>
      </c>
      <c r="AY45" s="3433">
        <v>1057.4476719932768</v>
      </c>
      <c r="AZ45" s="3434">
        <v>1096.170920293277</v>
      </c>
      <c r="BA45" s="3436">
        <v>1528.8624043083755</v>
      </c>
      <c r="BB45" s="3433">
        <v>1656.6233274562726</v>
      </c>
      <c r="BC45" s="3434">
        <v>1783.7523555016396</v>
      </c>
      <c r="BD45" s="3436">
        <v>843.18927358555129</v>
      </c>
      <c r="BE45" s="3433">
        <v>905.37335158555106</v>
      </c>
      <c r="BF45" s="3434">
        <v>937.55951291888459</v>
      </c>
      <c r="BG45" s="3436">
        <v>1281.0407736606801</v>
      </c>
      <c r="BH45" s="3433">
        <v>1387.7457707233248</v>
      </c>
      <c r="BI45" s="3434">
        <v>1490.1653511193031</v>
      </c>
      <c r="BJ45" s="3439">
        <v>801.75999816434273</v>
      </c>
      <c r="BK45" s="3434">
        <v>854.85597399767607</v>
      </c>
      <c r="BL45" s="3434">
        <v>894.95194983100941</v>
      </c>
      <c r="BM45" s="3434">
        <v>1561.5922976560532</v>
      </c>
      <c r="BN45" s="3434">
        <v>1683.9468442981838</v>
      </c>
      <c r="BO45" s="3434">
        <v>1789.8736182130419</v>
      </c>
      <c r="BP45" s="3437">
        <v>283.1074525303676</v>
      </c>
      <c r="BQ45" s="3437">
        <v>885.89801263367417</v>
      </c>
      <c r="BR45" s="3434">
        <v>655.99951265385482</v>
      </c>
      <c r="BS45" s="3434">
        <v>703.84354806853958</v>
      </c>
      <c r="BT45" s="3434">
        <v>751.68758348322433</v>
      </c>
      <c r="BU45" s="3434">
        <v>2029.7669535694636</v>
      </c>
      <c r="BV45" s="3434">
        <v>2140.0115452073414</v>
      </c>
      <c r="BW45" s="3434">
        <v>2272.493076881191</v>
      </c>
      <c r="BX45" s="3434">
        <v>1530.5907627340841</v>
      </c>
      <c r="BY45" s="3434">
        <v>1692.7002717167393</v>
      </c>
      <c r="BZ45" s="3434">
        <v>1854.8097806993947</v>
      </c>
      <c r="CA45" s="3434">
        <v>1409.0102093393257</v>
      </c>
      <c r="CB45" s="3434">
        <v>1522.2675111936951</v>
      </c>
      <c r="CC45" s="3434">
        <v>1635.5248130480645</v>
      </c>
      <c r="CD45" s="3434">
        <v>1429.7610190674177</v>
      </c>
      <c r="CE45" s="3434">
        <v>1579.5195216167394</v>
      </c>
      <c r="CF45" s="3434">
        <v>1729.2780241660612</v>
      </c>
      <c r="CG45" s="3434">
        <v>1979.5123848506687</v>
      </c>
      <c r="CH45" s="3434">
        <v>2122.0978148441668</v>
      </c>
      <c r="CI45" s="3434">
        <v>2230.8451733322891</v>
      </c>
      <c r="CJ45" s="3434">
        <v>1429.7610190674177</v>
      </c>
      <c r="CK45" s="3434">
        <v>1579.5195216167394</v>
      </c>
      <c r="CL45" s="3434">
        <v>1729.2780241660612</v>
      </c>
      <c r="CM45" s="3434">
        <v>1498.6831665259008</v>
      </c>
      <c r="CN45" s="3434">
        <v>1635.8686530945504</v>
      </c>
      <c r="CO45" s="3434">
        <v>1773.0541396631997</v>
      </c>
    </row>
    <row r="46" spans="2:93" ht="18" x14ac:dyDescent="0.2">
      <c r="B46" s="3440" t="s">
        <v>1422</v>
      </c>
      <c r="C46" s="3441"/>
      <c r="D46" s="3442" t="s">
        <v>1423</v>
      </c>
      <c r="E46" s="3330">
        <v>1.2419675316081094</v>
      </c>
      <c r="F46" s="3443">
        <v>1.9840688292465154</v>
      </c>
      <c r="G46" s="3444">
        <v>2.0324605187846831</v>
      </c>
      <c r="H46">
        <v>5.9512345010604779</v>
      </c>
      <c r="I46">
        <v>6.3782372148353303</v>
      </c>
      <c r="J46">
        <v>6.3125776979286359</v>
      </c>
      <c r="K46">
        <v>6.0980182656922848</v>
      </c>
      <c r="L46">
        <v>7.0204510870152852</v>
      </c>
      <c r="M46">
        <v>9.9846981297698179</v>
      </c>
      <c r="N46">
        <v>13.556431314741308</v>
      </c>
      <c r="O46" s="3448">
        <v>27.068898694109787</v>
      </c>
      <c r="P46" s="3656">
        <v>1.0031281310462745</v>
      </c>
      <c r="Q46" s="3657">
        <v>1.4485125442995206</v>
      </c>
      <c r="R46" s="3658">
        <v>1.4616806380544745</v>
      </c>
      <c r="S46">
        <v>1.9794855040715502</v>
      </c>
      <c r="T46">
        <v>1.9017056671051884</v>
      </c>
      <c r="U46">
        <v>1.8251251753453295</v>
      </c>
      <c r="V46" s="3657">
        <v>2.0406223461768134</v>
      </c>
      <c r="W46" s="3656">
        <v>1.9294065409150003</v>
      </c>
      <c r="X46">
        <v>1.8258274756406361</v>
      </c>
      <c r="Y46" s="3445">
        <v>6.6402951510753434</v>
      </c>
      <c r="Z46" s="3443">
        <v>6.1330134033127779</v>
      </c>
      <c r="AA46" s="3444">
        <v>5.7149135181917847</v>
      </c>
      <c r="AB46">
        <v>6.2013173115588209</v>
      </c>
      <c r="AC46" s="3656">
        <v>5.6086656195274056</v>
      </c>
      <c r="AD46" s="3658">
        <v>5.2721040005262605</v>
      </c>
      <c r="AE46" s="3449"/>
      <c r="AF46" s="3445">
        <v>5.6680532642745804</v>
      </c>
      <c r="AG46" s="3443">
        <v>5.1685270276085262</v>
      </c>
      <c r="AH46" s="3444">
        <v>4.6700281961002723</v>
      </c>
      <c r="AI46" s="3657">
        <v>5.4028007185132045</v>
      </c>
      <c r="AJ46" s="3656">
        <v>4.8678747446560289</v>
      </c>
      <c r="AK46">
        <v>4.4894279572274343</v>
      </c>
      <c r="AL46" s="3450">
        <v>1.5541581672421052</v>
      </c>
      <c r="AM46" s="3443">
        <v>1.3620607709473684</v>
      </c>
      <c r="AN46" s="3451">
        <v>1.2189896289894739</v>
      </c>
      <c r="AO46" s="3657">
        <v>6.5619193799458131</v>
      </c>
      <c r="AP46" s="3656">
        <v>6.1329321893127791</v>
      </c>
      <c r="AQ46" s="3658">
        <v>5.7031223698551283</v>
      </c>
      <c r="AR46" s="3446">
        <v>8.7180838010513551</v>
      </c>
      <c r="AS46" s="3443">
        <v>7.992071259213275</v>
      </c>
      <c r="AT46" s="3444">
        <v>7.4336000731839844</v>
      </c>
      <c r="AU46" s="3657">
        <v>11.90785595237309</v>
      </c>
      <c r="AV46" s="3656">
        <v>10.809547788208354</v>
      </c>
      <c r="AW46" s="3658">
        <v>9.9858166650848013</v>
      </c>
      <c r="AX46" s="3445">
        <v>2.9489391212173803</v>
      </c>
      <c r="AY46" s="3443">
        <v>2.4488261877739044</v>
      </c>
      <c r="AZ46" s="3444">
        <v>2.1154175654782543</v>
      </c>
      <c r="BA46" s="3446">
        <v>4.7896691864297471</v>
      </c>
      <c r="BB46" s="3443">
        <v>4.1519381640508088</v>
      </c>
      <c r="BC46" s="3444">
        <v>3.7254644016324971</v>
      </c>
      <c r="BD46" s="3446">
        <v>3.1064867974204518</v>
      </c>
      <c r="BE46" s="3443">
        <v>2.7796550267977445</v>
      </c>
      <c r="BF46" s="3444">
        <v>2.4672618761023277</v>
      </c>
      <c r="BG46" s="3446">
        <v>5.0911394871584497</v>
      </c>
      <c r="BH46" s="3443">
        <v>4.5960072965237213</v>
      </c>
      <c r="BI46" s="3444">
        <v>4.2301763074585086</v>
      </c>
      <c r="BJ46" s="3451">
        <v>2.8131929760152379</v>
      </c>
      <c r="BK46" s="3444">
        <v>2.4541319827684482</v>
      </c>
      <c r="BL46" s="3444">
        <v>2.1739723477676343</v>
      </c>
      <c r="BM46" s="3444">
        <v>6.0095232733792665</v>
      </c>
      <c r="BN46" s="3444">
        <v>5.4003200062382808</v>
      </c>
      <c r="BO46" s="3444">
        <v>4.9200180304991052</v>
      </c>
      <c r="BP46" s="3448">
        <v>1.3907032755877706</v>
      </c>
      <c r="BQ46" s="3448">
        <v>4.9467234812217988</v>
      </c>
      <c r="BR46" s="3444">
        <v>4.1580048340255651</v>
      </c>
      <c r="BS46" s="3444">
        <v>3.717717288420884</v>
      </c>
      <c r="BT46" s="3444">
        <v>3.4032261844175413</v>
      </c>
      <c r="BU46" s="3444">
        <v>4.5014992921903421</v>
      </c>
      <c r="BV46" s="3444">
        <v>4.2069747113360298</v>
      </c>
      <c r="BW46" s="3444">
        <v>3.8582225413942122</v>
      </c>
      <c r="BX46" s="3332">
        <v>5.1972521654807613</v>
      </c>
      <c r="BY46" s="3332">
        <v>4.4213145402030536</v>
      </c>
      <c r="BZ46" s="3332">
        <v>3.9363535244044874</v>
      </c>
      <c r="CA46" s="3332">
        <v>5.3824668438259469</v>
      </c>
      <c r="CB46" s="3332">
        <v>4.6520908661267422</v>
      </c>
      <c r="CC46" s="3332">
        <v>4.165173547660606</v>
      </c>
      <c r="CD46" s="3332">
        <v>4.8548761258655952</v>
      </c>
      <c r="CE46" s="3332">
        <v>4.1256876625747401</v>
      </c>
      <c r="CF46" s="3332">
        <v>3.6699448730179562</v>
      </c>
      <c r="CG46" s="3444">
        <v>4.107646903104575</v>
      </c>
      <c r="CH46" s="3444">
        <v>3.9631707917293433</v>
      </c>
      <c r="CI46" s="3444">
        <v>3.7875130277288438</v>
      </c>
      <c r="CJ46" s="3444">
        <v>4.8548761258655952</v>
      </c>
      <c r="CK46" s="3444">
        <v>4.1256876625747401</v>
      </c>
      <c r="CL46" s="3444">
        <v>3.6699448730179562</v>
      </c>
      <c r="CM46" s="3444">
        <v>5.0889071868451641</v>
      </c>
      <c r="CN46" s="3444">
        <v>4.2728709758248673</v>
      </c>
      <c r="CO46" s="3444">
        <v>3.7628483439371809</v>
      </c>
    </row>
    <row r="47" spans="2:93" ht="18" x14ac:dyDescent="0.2">
      <c r="B47" s="3452" t="s">
        <v>1424</v>
      </c>
      <c r="C47" s="3453"/>
      <c r="D47" s="3442" t="s">
        <v>1425</v>
      </c>
      <c r="E47" s="3447">
        <v>6.8998196200450517</v>
      </c>
      <c r="F47" s="3443">
        <v>11.022604606925087</v>
      </c>
      <c r="G47" s="3444">
        <v>11.291447326581574</v>
      </c>
      <c r="H47">
        <v>16.084417570433725</v>
      </c>
      <c r="I47">
        <v>17.238478959014405</v>
      </c>
      <c r="J47">
        <v>17.061020805212529</v>
      </c>
      <c r="K47">
        <v>16.481130447816987</v>
      </c>
      <c r="L47">
        <v>18.974192127068335</v>
      </c>
      <c r="M47">
        <v>11.346247874738429</v>
      </c>
      <c r="N47">
        <v>15.405035584933307</v>
      </c>
      <c r="O47" s="3448">
        <v>30.07655410456643</v>
      </c>
      <c r="P47" s="3656">
        <v>6.2695508190392149</v>
      </c>
      <c r="Q47" s="3657">
        <v>9.053203401872004</v>
      </c>
      <c r="R47" s="3658">
        <v>9.1355039878404654</v>
      </c>
      <c r="S47">
        <v>12.371784400447188</v>
      </c>
      <c r="T47">
        <v>11.885660419407428</v>
      </c>
      <c r="U47">
        <v>11.407032345908309</v>
      </c>
      <c r="V47" s="3657">
        <v>12.753889663605085</v>
      </c>
      <c r="W47" s="3656">
        <v>12.058790880718751</v>
      </c>
      <c r="X47">
        <v>11.411421722753976</v>
      </c>
      <c r="Y47" s="3445">
        <v>18.972271860215265</v>
      </c>
      <c r="Z47" s="3443">
        <v>17.522895438036507</v>
      </c>
      <c r="AA47" s="3444">
        <v>16.328324337690812</v>
      </c>
      <c r="AB47">
        <v>17.718049461596632</v>
      </c>
      <c r="AC47" s="3656">
        <v>16.024758912935447</v>
      </c>
      <c r="AD47" s="3658">
        <v>15.063154287217886</v>
      </c>
      <c r="AE47" s="3449"/>
      <c r="AF47" s="3445">
        <v>16.194437897927372</v>
      </c>
      <c r="AG47" s="3443">
        <v>14.767220078881504</v>
      </c>
      <c r="AH47" s="3444">
        <v>13.342937703143635</v>
      </c>
      <c r="AI47" s="3657">
        <v>15.436573481466301</v>
      </c>
      <c r="AJ47" s="3656">
        <v>13.908213556160083</v>
      </c>
      <c r="AK47">
        <v>12.826937020649813</v>
      </c>
      <c r="AL47" s="3450">
        <v>12.951318060350877</v>
      </c>
      <c r="AM47" s="3443">
        <v>11.350506424561404</v>
      </c>
      <c r="AN47" s="3451">
        <v>10.158246908245614</v>
      </c>
      <c r="AO47" s="3657">
        <v>16.404798449864533</v>
      </c>
      <c r="AP47" s="3656">
        <v>15.332330473281948</v>
      </c>
      <c r="AQ47" s="3658">
        <v>14.25780592463782</v>
      </c>
      <c r="AR47" s="3446">
        <v>16.144599631576583</v>
      </c>
      <c r="AS47" s="3443">
        <v>14.800131961506066</v>
      </c>
      <c r="AT47" s="3444">
        <v>13.765926061451822</v>
      </c>
      <c r="AU47" s="3657">
        <v>18.319778388266293</v>
      </c>
      <c r="AV47" s="3656">
        <v>16.630073520320543</v>
      </c>
      <c r="AW47" s="3658">
        <v>15.362794869361233</v>
      </c>
      <c r="AX47" s="3445">
        <v>8.9361791552041829</v>
      </c>
      <c r="AY47" s="3443">
        <v>7.4206854174966796</v>
      </c>
      <c r="AZ47" s="3444">
        <v>6.4103562590250123</v>
      </c>
      <c r="BA47" s="3446">
        <v>13.684769104084994</v>
      </c>
      <c r="BB47" s="3443">
        <v>11.862680468716595</v>
      </c>
      <c r="BC47" s="3444">
        <v>10.644184004664277</v>
      </c>
      <c r="BD47" s="3446">
        <v>8.8756765640584341</v>
      </c>
      <c r="BE47" s="3443">
        <v>7.9418715051364126</v>
      </c>
      <c r="BF47" s="3444">
        <v>7.0493196460066514</v>
      </c>
      <c r="BG47" s="3446">
        <v>13.759836451779593</v>
      </c>
      <c r="BH47" s="3443">
        <v>12.421641341956004</v>
      </c>
      <c r="BI47" s="3444">
        <v>11.432908939077052</v>
      </c>
      <c r="BJ47" s="3451">
        <v>9.3773099200507914</v>
      </c>
      <c r="BK47" s="3444">
        <v>8.1804399425614935</v>
      </c>
      <c r="BL47" s="3444">
        <v>7.2465744925587803</v>
      </c>
      <c r="BM47" s="3444">
        <v>17.675068451115489</v>
      </c>
      <c r="BN47" s="3444">
        <v>15.883294135994943</v>
      </c>
      <c r="BO47" s="3444">
        <v>14.470641266173837</v>
      </c>
      <c r="BP47" s="3448">
        <v>3.9734379302507734</v>
      </c>
      <c r="BQ47" s="3448">
        <v>13.369522922221078</v>
      </c>
      <c r="BR47" s="3444">
        <v>14.850017264377021</v>
      </c>
      <c r="BS47" s="3444">
        <v>13.277561744360302</v>
      </c>
      <c r="BT47" s="3444">
        <v>12.154379230062647</v>
      </c>
      <c r="BU47" s="3444">
        <v>13.64090694603134</v>
      </c>
      <c r="BV47" s="3444">
        <v>12.748408216169787</v>
      </c>
      <c r="BW47" s="3444">
        <v>11.69158345877034</v>
      </c>
      <c r="BX47" s="3332">
        <v>17.32417388493587</v>
      </c>
      <c r="BY47" s="3332">
        <v>14.73771513401018</v>
      </c>
      <c r="BZ47" s="3332">
        <v>13.121178414681625</v>
      </c>
      <c r="CA47" s="3332">
        <v>19.935062384540544</v>
      </c>
      <c r="CB47" s="3332">
        <v>17.229966170839788</v>
      </c>
      <c r="CC47" s="3332">
        <v>15.426568695039281</v>
      </c>
      <c r="CD47" s="3332">
        <v>16.182920419551984</v>
      </c>
      <c r="CE47" s="3332">
        <v>13.752292208582467</v>
      </c>
      <c r="CF47" s="3332">
        <v>12.233149576726522</v>
      </c>
      <c r="CG47" s="3444">
        <v>12.447414857892653</v>
      </c>
      <c r="CH47" s="3444">
        <v>12.009608459785891</v>
      </c>
      <c r="CI47" s="3444">
        <v>11.47731220523892</v>
      </c>
      <c r="CJ47" s="3444">
        <v>16.182920419551984</v>
      </c>
      <c r="CK47" s="3444">
        <v>13.752292208582467</v>
      </c>
      <c r="CL47" s="3444">
        <v>12.233149576726522</v>
      </c>
      <c r="CM47" s="3444">
        <v>16.963023956150547</v>
      </c>
      <c r="CN47" s="3444">
        <v>14.242903252749556</v>
      </c>
      <c r="CO47" s="3444">
        <v>12.542827813123935</v>
      </c>
    </row>
    <row r="48" spans="2:93" ht="18" x14ac:dyDescent="0.2">
      <c r="B48" s="3454"/>
      <c r="C48" s="3455"/>
      <c r="D48" s="3456" t="s">
        <v>1426</v>
      </c>
      <c r="E48" s="3457"/>
      <c r="F48" s="3458"/>
      <c r="G48" s="3459"/>
      <c r="H48">
        <v>35.707407006362871</v>
      </c>
      <c r="I48">
        <v>38.269423289011989</v>
      </c>
      <c r="J48">
        <v>37.875466187571824</v>
      </c>
      <c r="K48">
        <v>36.588109594153707</v>
      </c>
      <c r="L48">
        <v>38.612480978584067</v>
      </c>
      <c r="M48">
        <v>17.972456633585669</v>
      </c>
      <c r="N48">
        <v>24.401576366534357</v>
      </c>
      <c r="O48" s="3448">
        <v>0</v>
      </c>
      <c r="P48" s="3659"/>
      <c r="Q48" s="3660"/>
      <c r="R48" s="3661"/>
      <c r="S48"/>
      <c r="T48"/>
      <c r="U48"/>
      <c r="V48" s="3660"/>
      <c r="W48" s="3659"/>
      <c r="X48"/>
      <c r="Y48" s="3445">
        <v>43.16191848198973</v>
      </c>
      <c r="Z48" s="3443">
        <v>39.864587121533056</v>
      </c>
      <c r="AA48" s="3444">
        <v>37.146937868246596</v>
      </c>
      <c r="AB48">
        <v>42.168957718599977</v>
      </c>
      <c r="AC48" s="3656">
        <v>38.138926212786359</v>
      </c>
      <c r="AD48" s="3658">
        <v>35.850307203578573</v>
      </c>
      <c r="AE48" s="3449"/>
      <c r="AF48" s="3445">
        <v>39.676372849922068</v>
      </c>
      <c r="AG48" s="3443">
        <v>36.179689193259691</v>
      </c>
      <c r="AH48" s="3444">
        <v>32.69019737270191</v>
      </c>
      <c r="AI48" s="3657">
        <v>37.819605029592438</v>
      </c>
      <c r="AJ48" s="3656">
        <v>34.075123212592203</v>
      </c>
      <c r="AK48">
        <v>31.42599570059204</v>
      </c>
      <c r="AL48" s="3450"/>
      <c r="AM48" s="3443"/>
      <c r="AN48" s="3451"/>
      <c r="AO48" s="3657">
        <v>42.652475969647789</v>
      </c>
      <c r="AP48" s="3656">
        <v>39.864059230533059</v>
      </c>
      <c r="AQ48" s="3658">
        <v>37.070295404058328</v>
      </c>
      <c r="AR48" s="3446">
        <v>78.46275420946219</v>
      </c>
      <c r="AS48" s="3443">
        <v>71.928641332919483</v>
      </c>
      <c r="AT48" s="3444">
        <v>66.902400658655864</v>
      </c>
      <c r="AU48" s="3657">
        <v>113.12463154754437</v>
      </c>
      <c r="AV48" s="3656">
        <v>102.69070398797938</v>
      </c>
      <c r="AW48" s="3658">
        <v>94.865258318305607</v>
      </c>
      <c r="AX48" s="3445">
        <v>22.340447888010456</v>
      </c>
      <c r="AY48" s="3443">
        <v>18.551713543741698</v>
      </c>
      <c r="AZ48" s="3444">
        <v>16.02589064756253</v>
      </c>
      <c r="BA48" s="3446">
        <v>33.527684305008236</v>
      </c>
      <c r="BB48" s="3443">
        <v>29.063567148355659</v>
      </c>
      <c r="BC48" s="3444">
        <v>26.078250811427484</v>
      </c>
      <c r="BD48" s="3446">
        <v>21.781634833225038</v>
      </c>
      <c r="BE48" s="3443">
        <v>19.490000989645992</v>
      </c>
      <c r="BF48" s="3444">
        <v>17.299605865965297</v>
      </c>
      <c r="BG48" s="3446">
        <v>33.092406666529925</v>
      </c>
      <c r="BH48" s="3443">
        <v>29.874047427404189</v>
      </c>
      <c r="BI48" s="3444">
        <v>27.496145998480305</v>
      </c>
      <c r="BJ48" s="3451">
        <v>21.940888587129592</v>
      </c>
      <c r="BK48" s="3444">
        <v>19.140470231197643</v>
      </c>
      <c r="BL48" s="3444">
        <v>16.955425909470868</v>
      </c>
      <c r="BM48" s="3444">
        <v>40.864758258979009</v>
      </c>
      <c r="BN48" s="3444">
        <v>36.722176042420308</v>
      </c>
      <c r="BO48" s="3444">
        <v>33.456122607393915</v>
      </c>
      <c r="BP48" s="3448">
        <v>9.4849808657599119</v>
      </c>
      <c r="BQ48" s="3448">
        <v>29.680340887330797</v>
      </c>
      <c r="BR48" s="3444">
        <v>27.027031421166175</v>
      </c>
      <c r="BS48" s="3444">
        <v>24.165162374735743</v>
      </c>
      <c r="BT48" s="3444">
        <v>22.120970198714019</v>
      </c>
      <c r="BU48" s="3444">
        <v>30.610195186894323</v>
      </c>
      <c r="BV48" s="3444">
        <v>28.607428037085</v>
      </c>
      <c r="BW48" s="3444">
        <v>26.235913281480642</v>
      </c>
      <c r="BX48" s="3444">
        <v>35.341314725269172</v>
      </c>
      <c r="BY48" s="3444">
        <v>30.064938873380768</v>
      </c>
      <c r="BZ48" s="3444">
        <v>26.767203965950515</v>
      </c>
      <c r="CA48" s="3444">
        <v>37.677267906781637</v>
      </c>
      <c r="CB48" s="3444">
        <v>32.564636062887196</v>
      </c>
      <c r="CC48" s="3444">
        <v>29.156214833624244</v>
      </c>
      <c r="CD48" s="3444">
        <v>33.01315765588604</v>
      </c>
      <c r="CE48" s="3444">
        <v>28.054676105508236</v>
      </c>
      <c r="CF48" s="3444">
        <v>24.955625136522105</v>
      </c>
      <c r="CG48" s="3444">
        <v>27.931998941111111</v>
      </c>
      <c r="CH48" s="3444">
        <v>26.949561383759537</v>
      </c>
      <c r="CI48" s="3444">
        <v>25.755088588556138</v>
      </c>
      <c r="CJ48" s="3444">
        <v>33.01315765588604</v>
      </c>
      <c r="CK48" s="3444">
        <v>28.054676105508236</v>
      </c>
      <c r="CL48" s="3444">
        <v>24.955625136522105</v>
      </c>
      <c r="CM48" s="3444">
        <v>35.62235030791615</v>
      </c>
      <c r="CN48" s="3444">
        <v>29.910096830774069</v>
      </c>
      <c r="CO48" s="3444">
        <v>26.339938407560268</v>
      </c>
    </row>
    <row r="49" spans="2:93" ht="18" x14ac:dyDescent="0.2">
      <c r="B49" s="3460"/>
      <c r="C49" s="3461"/>
      <c r="D49" s="3462" t="s">
        <v>1405</v>
      </c>
      <c r="E49" s="3463">
        <v>0.11442486932081347</v>
      </c>
      <c r="F49" s="3464">
        <v>0.17981410451753813</v>
      </c>
      <c r="G49" s="3465">
        <v>0.18241433483976696</v>
      </c>
      <c r="H49">
        <v>0.28467995699882698</v>
      </c>
      <c r="I49">
        <v>0.29568574543763987</v>
      </c>
      <c r="J49">
        <v>0.29264186629867117</v>
      </c>
      <c r="K49">
        <v>0.27377293102686023</v>
      </c>
      <c r="L49">
        <v>0.32434516456527074</v>
      </c>
      <c r="M49">
        <v>0.22692495749476857</v>
      </c>
      <c r="N49">
        <v>0.27882417348295579</v>
      </c>
      <c r="O49" s="3468">
        <v>0.46129684209457716</v>
      </c>
      <c r="P49" s="3662">
        <v>0.11567436935496707</v>
      </c>
      <c r="Q49" s="3663">
        <v>0.1462553053614217</v>
      </c>
      <c r="R49" s="3664">
        <v>0.14758487864039524</v>
      </c>
      <c r="S49">
        <v>0.20281613771224899</v>
      </c>
      <c r="T49">
        <v>0.19484689212143327</v>
      </c>
      <c r="U49">
        <v>0.18700053026079197</v>
      </c>
      <c r="V49" s="3663">
        <v>0.20244269307309656</v>
      </c>
      <c r="W49" s="3662">
        <v>0.1914093790590278</v>
      </c>
      <c r="X49">
        <v>0.18113367813895201</v>
      </c>
      <c r="Y49" s="3466">
        <v>0.31102085016746339</v>
      </c>
      <c r="Z49" s="3464">
        <v>0.28726058095141815</v>
      </c>
      <c r="AA49" s="3465">
        <v>0.26767744815886579</v>
      </c>
      <c r="AB49">
        <v>0.3054836114068385</v>
      </c>
      <c r="AC49" s="3662">
        <v>0.27628894677474908</v>
      </c>
      <c r="AD49" s="3664">
        <v>0.25970955667617046</v>
      </c>
      <c r="AE49" s="3469"/>
      <c r="AF49" s="3466">
        <v>0.25303809215511514</v>
      </c>
      <c r="AG49" s="3464">
        <v>0.22718800121356159</v>
      </c>
      <c r="AH49" s="3465">
        <v>0.20527596466374823</v>
      </c>
      <c r="AI49" s="3663">
        <v>0.23748574586871235</v>
      </c>
      <c r="AJ49" s="3662">
        <v>0.21073050842666793</v>
      </c>
      <c r="AK49">
        <v>0.19434753061590623</v>
      </c>
      <c r="AL49" s="3470">
        <v>0.20557647714842661</v>
      </c>
      <c r="AM49" s="3464">
        <v>0.1801667686438318</v>
      </c>
      <c r="AN49" s="3471">
        <v>0.16124201441659705</v>
      </c>
      <c r="AO49" s="3663">
        <v>0.28284135258387127</v>
      </c>
      <c r="AP49" s="3662">
        <v>0.25987000802172788</v>
      </c>
      <c r="AQ49" s="3664">
        <v>0.24165772753623424</v>
      </c>
      <c r="AR49" s="3467">
        <v>0.21817026529157543</v>
      </c>
      <c r="AS49" s="3464">
        <v>0.20000178326359547</v>
      </c>
      <c r="AT49" s="3465">
        <v>0.18602602785745703</v>
      </c>
      <c r="AU49" s="3663">
        <v>0.22617010355884309</v>
      </c>
      <c r="AV49" s="3662">
        <v>0.205309549633587</v>
      </c>
      <c r="AW49" s="3664">
        <v>0.18966413418964484</v>
      </c>
      <c r="AX49" s="3466">
        <v>0.28495469244911298</v>
      </c>
      <c r="AY49" s="3464">
        <v>0.23662899928241962</v>
      </c>
      <c r="AZ49" s="3465">
        <v>0.20441187050462409</v>
      </c>
      <c r="BA49" s="3467">
        <v>0.42764903450265607</v>
      </c>
      <c r="BB49" s="3464">
        <v>0.37070876464739361</v>
      </c>
      <c r="BC49" s="3465">
        <v>0.33263075014575866</v>
      </c>
      <c r="BD49" s="3467">
        <v>0.3018937606822597</v>
      </c>
      <c r="BE49" s="3464">
        <v>0.27013168384817732</v>
      </c>
      <c r="BF49" s="3465">
        <v>0.23977277707505615</v>
      </c>
      <c r="BG49" s="3467">
        <v>0.45866121505931978</v>
      </c>
      <c r="BH49" s="3464">
        <v>0.4140547113985335</v>
      </c>
      <c r="BI49" s="3465">
        <v>0.38109696463590176</v>
      </c>
      <c r="BJ49" s="3471">
        <v>0.34769410159624742</v>
      </c>
      <c r="BK49" s="3465">
        <v>0.30331627521547988</v>
      </c>
      <c r="BL49" s="3465">
        <v>0.26869019253091508</v>
      </c>
      <c r="BM49" s="3465">
        <v>0.60948511900398239</v>
      </c>
      <c r="BN49" s="3465">
        <v>0.5476997977929291</v>
      </c>
      <c r="BO49" s="3465">
        <v>0.49898762986806339</v>
      </c>
      <c r="BP49" s="3468">
        <v>0.14732806563777431</v>
      </c>
      <c r="BQ49" s="3468">
        <v>0.46101803180072681</v>
      </c>
      <c r="BR49" s="3465">
        <v>0.51206956084058697</v>
      </c>
      <c r="BS49" s="3465">
        <v>0.45784695670207937</v>
      </c>
      <c r="BT49" s="3465">
        <v>0.41911652517457404</v>
      </c>
      <c r="BU49" s="3465">
        <v>0.4546968982010447</v>
      </c>
      <c r="BV49" s="3465">
        <v>0.42494694053899285</v>
      </c>
      <c r="BW49" s="3465">
        <v>0.38971944862567798</v>
      </c>
      <c r="BX49" s="3465">
        <v>0.61872049589056688</v>
      </c>
      <c r="BY49" s="3465">
        <v>0.52634696907179213</v>
      </c>
      <c r="BZ49" s="3465">
        <v>0.46861351481005803</v>
      </c>
      <c r="CA49" s="3465">
        <v>0.738335643871872</v>
      </c>
      <c r="CB49" s="3465">
        <v>0.63814689521628842</v>
      </c>
      <c r="CC49" s="3465">
        <v>0.571354396112566</v>
      </c>
      <c r="CD49" s="3465">
        <v>0.577961443555428</v>
      </c>
      <c r="CE49" s="3465">
        <v>0.49115329316365958</v>
      </c>
      <c r="CF49" s="3465">
        <v>0.43689819916880435</v>
      </c>
      <c r="CG49" s="3465">
        <v>0.42922120199629843</v>
      </c>
      <c r="CH49" s="3465">
        <v>0.41412442964778939</v>
      </c>
      <c r="CI49" s="3465">
        <v>0.39576938638754894</v>
      </c>
      <c r="CJ49" s="3465">
        <v>0.577961443555428</v>
      </c>
      <c r="CK49" s="3465">
        <v>0.49115329316365958</v>
      </c>
      <c r="CL49" s="3465">
        <v>0.43689819916880435</v>
      </c>
      <c r="CM49" s="3465">
        <v>0.75953838609629309</v>
      </c>
      <c r="CN49" s="3465">
        <v>0.63774193669027857</v>
      </c>
      <c r="CO49" s="3465">
        <v>0.56161915581151944</v>
      </c>
    </row>
    <row r="50" spans="2:93" ht="18" x14ac:dyDescent="0.2">
      <c r="B50" s="3472"/>
      <c r="C50" s="3473"/>
      <c r="D50" s="3474" t="s">
        <v>1406</v>
      </c>
      <c r="E50" s="3475">
        <v>6.865492159248808E-2</v>
      </c>
      <c r="F50" s="3476">
        <v>0.10788846271052287</v>
      </c>
      <c r="G50" s="3477">
        <v>0.10944860090386017</v>
      </c>
      <c r="H50">
        <v>0.17080797419929616</v>
      </c>
      <c r="I50">
        <v>0.17741144726258393</v>
      </c>
      <c r="J50">
        <v>0.17558511977920269</v>
      </c>
      <c r="K50">
        <v>0.16426375861611617</v>
      </c>
      <c r="L50">
        <v>0.19460709873916243</v>
      </c>
      <c r="M50">
        <v>0.13615497449686112</v>
      </c>
      <c r="N50">
        <v>0.16729450408977348</v>
      </c>
      <c r="O50" s="3479">
        <v>0.27677810525674629</v>
      </c>
      <c r="P50" s="3665">
        <v>6.9404621612980236E-2</v>
      </c>
      <c r="Q50" s="3666">
        <v>8.775318321685302E-2</v>
      </c>
      <c r="R50" s="3667">
        <v>8.8550927184237155E-2</v>
      </c>
      <c r="S50">
        <v>0.12168968262734939</v>
      </c>
      <c r="T50">
        <v>0.11690813527285997</v>
      </c>
      <c r="U50">
        <v>0.11220031815647517</v>
      </c>
      <c r="V50" s="3666">
        <v>0.12146561584385794</v>
      </c>
      <c r="W50" s="3665">
        <v>0.11484562743541668</v>
      </c>
      <c r="X50">
        <v>0.1086802068833712</v>
      </c>
      <c r="Y50" s="3475">
        <v>0.18661251010047805</v>
      </c>
      <c r="Z50" s="3478">
        <v>0.17235634857085089</v>
      </c>
      <c r="AA50" s="3477">
        <v>0.16060646889531949</v>
      </c>
      <c r="AB50">
        <v>0.18329016684410307</v>
      </c>
      <c r="AC50" s="3665">
        <v>0.16577336806484946</v>
      </c>
      <c r="AD50" s="3667">
        <v>0.15582573400570229</v>
      </c>
      <c r="AE50" s="3183"/>
      <c r="AF50" s="3475">
        <v>0.1518228552930691</v>
      </c>
      <c r="AG50" s="3478">
        <v>0.13631280072813695</v>
      </c>
      <c r="AH50" s="3477">
        <v>0.12316557879824894</v>
      </c>
      <c r="AI50" s="3666">
        <v>0.14249144752122739</v>
      </c>
      <c r="AJ50" s="3665">
        <v>0.12643830505600076</v>
      </c>
      <c r="AK50">
        <v>0.11660851836954375</v>
      </c>
      <c r="AL50" s="3480">
        <v>0.12334588628905598</v>
      </c>
      <c r="AM50" s="3478">
        <v>0.10810006118629907</v>
      </c>
      <c r="AN50" s="3481">
        <v>9.6745208649958225E-2</v>
      </c>
      <c r="AO50" s="3666">
        <v>0.16970481155032277</v>
      </c>
      <c r="AP50" s="3665">
        <v>0.15592200481303672</v>
      </c>
      <c r="AQ50" s="3667">
        <v>0.14499463652174052</v>
      </c>
      <c r="AR50" s="3476">
        <v>0.13090215917494524</v>
      </c>
      <c r="AS50" s="3478">
        <v>0.12000106995815728</v>
      </c>
      <c r="AT50" s="3477">
        <v>0.11161561671447423</v>
      </c>
      <c r="AU50" s="3666">
        <v>0.13570206213530586</v>
      </c>
      <c r="AV50" s="3665">
        <v>0.12318572978015219</v>
      </c>
      <c r="AW50" s="3667">
        <v>0.1137984805137869</v>
      </c>
      <c r="AX50" s="3482">
        <v>7.9154081235864719</v>
      </c>
      <c r="AY50" s="3483">
        <v>6.5730277578449892</v>
      </c>
      <c r="AZ50" s="3484">
        <v>5.6781075140173369</v>
      </c>
      <c r="BA50" s="3485">
        <v>11.879139847296003</v>
      </c>
      <c r="BB50" s="3483">
        <v>10.297465684649822</v>
      </c>
      <c r="BC50" s="3484">
        <v>9.2397430596044074</v>
      </c>
      <c r="BD50" s="3485">
        <v>8.3859377967294382</v>
      </c>
      <c r="BE50" s="3483">
        <v>7.5036578846715924</v>
      </c>
      <c r="BF50" s="3484">
        <v>6.6603549187515609</v>
      </c>
      <c r="BG50" s="3485">
        <v>12.740589307203329</v>
      </c>
      <c r="BH50" s="3483">
        <v>11.501519761070375</v>
      </c>
      <c r="BI50" s="3484">
        <v>10.586026795441718</v>
      </c>
      <c r="BJ50" s="3486">
        <v>9.658169488784651</v>
      </c>
      <c r="BK50" s="3484">
        <v>8.4254520893188882</v>
      </c>
      <c r="BL50" s="3484">
        <v>7.4636164591920879</v>
      </c>
      <c r="BM50" s="3484">
        <v>16.930142194555067</v>
      </c>
      <c r="BN50" s="3484">
        <v>15.213883272025811</v>
      </c>
      <c r="BO50" s="3484">
        <v>13.860767496335095</v>
      </c>
      <c r="BP50" s="3487">
        <v>4.0924462677159541</v>
      </c>
      <c r="BQ50" s="3487">
        <v>12.806056438909081</v>
      </c>
      <c r="BR50" s="3484">
        <v>14.224154467794083</v>
      </c>
      <c r="BS50" s="3484">
        <v>12.717971019502206</v>
      </c>
      <c r="BT50" s="3484">
        <v>11.642125699293723</v>
      </c>
      <c r="BU50" s="3484">
        <v>12.630469394473465</v>
      </c>
      <c r="BV50" s="3484">
        <v>11.804081681638694</v>
      </c>
      <c r="BW50" s="3484">
        <v>10.825540239602168</v>
      </c>
      <c r="BX50" s="3484">
        <v>17.186680441404633</v>
      </c>
      <c r="BY50" s="3484">
        <v>14.620749140883115</v>
      </c>
      <c r="BZ50" s="3484">
        <v>13.017042078057168</v>
      </c>
      <c r="CA50" s="3484">
        <v>20.509323440885332</v>
      </c>
      <c r="CB50" s="3484">
        <v>17.726302644896901</v>
      </c>
      <c r="CC50" s="3484">
        <v>15.870955447571276</v>
      </c>
      <c r="CD50" s="3484">
        <v>16.054484543206332</v>
      </c>
      <c r="CE50" s="3484">
        <v>13.643147032323878</v>
      </c>
      <c r="CF50" s="3484">
        <v>12.136061088022343</v>
      </c>
      <c r="CG50" s="3484">
        <v>11.922811166563847</v>
      </c>
      <c r="CH50" s="3484">
        <v>11.503456379105261</v>
      </c>
      <c r="CI50" s="3484">
        <v>10.993594066320806</v>
      </c>
      <c r="CJ50" s="3484">
        <v>16.054484543206332</v>
      </c>
      <c r="CK50" s="3484">
        <v>13.643147032323878</v>
      </c>
      <c r="CL50" s="3484">
        <v>12.136061088022343</v>
      </c>
      <c r="CM50" s="3484">
        <v>21.098288502674809</v>
      </c>
      <c r="CN50" s="3484">
        <v>17.715053796952184</v>
      </c>
      <c r="CO50" s="3484">
        <v>15.600532105875541</v>
      </c>
    </row>
    <row r="51" spans="2:93" ht="16.5" x14ac:dyDescent="0.2">
      <c r="B51" s="3488" t="s">
        <v>1427</v>
      </c>
      <c r="C51" s="3489"/>
      <c r="D51" s="3490" t="s">
        <v>1058</v>
      </c>
      <c r="E51" s="3216">
        <v>458.83800473299596</v>
      </c>
      <c r="F51" s="3217">
        <v>785.36057824341242</v>
      </c>
      <c r="G51" s="3218">
        <v>1179.9562456277745</v>
      </c>
      <c r="H51" s="3711">
        <v>922.69913797680704</v>
      </c>
      <c r="I51" s="3712">
        <v>1065.077212021692</v>
      </c>
      <c r="J51" s="3712">
        <v>1053.3183911053952</v>
      </c>
      <c r="K51" s="3713">
        <v>1488.5103292377607</v>
      </c>
      <c r="L51" s="3714">
        <v>1257.2774058198656</v>
      </c>
      <c r="M51">
        <v>491.19042295082556</v>
      </c>
      <c r="N51">
        <v>874.25779060477851</v>
      </c>
      <c r="O51" s="3221">
        <v>3092.6850891123772</v>
      </c>
      <c r="P51" s="3600">
        <v>300.93843931388233</v>
      </c>
      <c r="Q51" s="3601">
        <v>651.83064493478423</v>
      </c>
      <c r="R51" s="3602">
        <v>737.69194701811762</v>
      </c>
      <c r="S51" s="3711">
        <v>1057.7875662382346</v>
      </c>
      <c r="T51" s="3713">
        <v>1185.5946268358909</v>
      </c>
      <c r="U51">
        <v>1300.4016874335473</v>
      </c>
      <c r="V51" s="3601">
        <v>1090.4575662382347</v>
      </c>
      <c r="W51" s="3600">
        <v>1260.1436470351096</v>
      </c>
      <c r="X51" s="3645">
        <v>1438.9802792392763</v>
      </c>
      <c r="Y51" s="3219">
        <v>1421.8990472323967</v>
      </c>
      <c r="Z51" s="3217">
        <v>1597.0189656945977</v>
      </c>
      <c r="AA51" s="3218">
        <v>1750.183586636138</v>
      </c>
      <c r="AB51">
        <v>1322.1695532062358</v>
      </c>
      <c r="AC51" s="3600">
        <v>1451.422567502651</v>
      </c>
      <c r="AD51" s="3602">
        <v>1604.8724804890699</v>
      </c>
      <c r="AE51" s="3222"/>
      <c r="AF51" s="3219">
        <v>1583.9854270000772</v>
      </c>
      <c r="AG51" s="3217">
        <v>1695.7213767115627</v>
      </c>
      <c r="AH51" s="3218">
        <v>1753.6413499706953</v>
      </c>
      <c r="AI51" s="3601">
        <v>1612.3012620766879</v>
      </c>
      <c r="AJ51" s="3600">
        <v>1741.8764102259518</v>
      </c>
      <c r="AK51">
        <v>1871.0662919552158</v>
      </c>
      <c r="AL51" s="3223">
        <v>307.59380393333333</v>
      </c>
      <c r="AM51" s="3217">
        <v>345.05539530666664</v>
      </c>
      <c r="AN51" s="3224">
        <v>386.01338251333334</v>
      </c>
      <c r="AO51" s="3601">
        <v>1299.7455621141494</v>
      </c>
      <c r="AP51" s="3600">
        <v>1411.5307154156767</v>
      </c>
      <c r="AQ51" s="3602">
        <v>1493.1320779005373</v>
      </c>
      <c r="AR51" s="3220">
        <v>1456.881670144224</v>
      </c>
      <c r="AS51" s="3217">
        <v>1531.468489569758</v>
      </c>
      <c r="AT51" s="3218">
        <v>1606.0553089952919</v>
      </c>
      <c r="AU51" s="3601">
        <v>1502.5142311528327</v>
      </c>
      <c r="AV51" s="3600">
        <v>1587.7561703122681</v>
      </c>
      <c r="AW51" s="3602">
        <v>1672.9981094717036</v>
      </c>
      <c r="AX51" s="3219">
        <v>1018.7244236932768</v>
      </c>
      <c r="AY51" s="3217">
        <v>1057.4476719932768</v>
      </c>
      <c r="AZ51" s="3218">
        <v>1096.170920293277</v>
      </c>
      <c r="BA51" s="3220">
        <v>1416.5896770356483</v>
      </c>
      <c r="BB51" s="3217">
        <v>1516.2824183653636</v>
      </c>
      <c r="BC51" s="3218">
        <v>1615.3432645925488</v>
      </c>
      <c r="BD51" s="3220">
        <v>843.18927358555129</v>
      </c>
      <c r="BE51" s="3217">
        <v>905.37335158555106</v>
      </c>
      <c r="BF51" s="3218">
        <v>937.55951291888459</v>
      </c>
      <c r="BG51" s="3220">
        <v>1186.0407736606801</v>
      </c>
      <c r="BH51" s="3217">
        <v>1273.7457707233248</v>
      </c>
      <c r="BI51" s="3218">
        <v>1357.1653511193031</v>
      </c>
      <c r="BJ51" s="3224">
        <v>801.75999816434273</v>
      </c>
      <c r="BK51" s="3218">
        <v>854.85597399767607</v>
      </c>
      <c r="BL51" s="3218">
        <v>894.95194983100941</v>
      </c>
      <c r="BM51" s="3218">
        <v>1462.2701469207591</v>
      </c>
      <c r="BN51" s="3218">
        <v>1564.7602634158309</v>
      </c>
      <c r="BO51" s="3218">
        <v>1650.8226071836302</v>
      </c>
      <c r="BP51" s="3221">
        <v>283.1074525303676</v>
      </c>
      <c r="BQ51" s="3221">
        <v>808.71051263367417</v>
      </c>
      <c r="BR51" s="3218">
        <v>655.99951265385482</v>
      </c>
      <c r="BS51" s="3218">
        <v>703.84354806853958</v>
      </c>
      <c r="BT51" s="3218">
        <v>751.68758348322433</v>
      </c>
      <c r="BU51" s="3218">
        <v>1857.0914317478316</v>
      </c>
      <c r="BV51" s="3218">
        <v>1945.2119721523129</v>
      </c>
      <c r="BW51" s="3218">
        <v>2046.9356765016844</v>
      </c>
      <c r="BX51" s="3218">
        <v>1417.0797333223195</v>
      </c>
      <c r="BY51" s="3218">
        <v>1545.1359334814451</v>
      </c>
      <c r="BZ51" s="3218">
        <v>1673.1921336405712</v>
      </c>
      <c r="CA51" s="3218">
        <v>1310.2102093393257</v>
      </c>
      <c r="CB51" s="3218">
        <v>1398.7675111936951</v>
      </c>
      <c r="CC51" s="3218">
        <v>1487.3248130480645</v>
      </c>
      <c r="CD51" s="3218">
        <v>1316.2499896556531</v>
      </c>
      <c r="CE51" s="3218">
        <v>1431.9551833814453</v>
      </c>
      <c r="CF51" s="3218">
        <v>1547.6603771072378</v>
      </c>
      <c r="CG51" s="3218">
        <v>1794.9654209037997</v>
      </c>
      <c r="CH51" s="3218">
        <v>1917.045632680979</v>
      </c>
      <c r="CI51" s="3218">
        <v>2005.2877729527825</v>
      </c>
      <c r="CJ51" s="3218">
        <v>1316.2499896556531</v>
      </c>
      <c r="CK51" s="3218">
        <v>1431.9551833814453</v>
      </c>
      <c r="CL51" s="3218">
        <v>1547.6603771072378</v>
      </c>
      <c r="CM51" s="3218">
        <v>1388.4153093830437</v>
      </c>
      <c r="CN51" s="3218">
        <v>1492.5204388088362</v>
      </c>
      <c r="CO51" s="3218">
        <v>1596.6255682346284</v>
      </c>
    </row>
    <row r="52" spans="2:93" ht="16.5" x14ac:dyDescent="0.2">
      <c r="B52" s="3488" t="s">
        <v>1428</v>
      </c>
      <c r="C52" s="3489"/>
      <c r="D52" s="3490" t="s">
        <v>1048</v>
      </c>
      <c r="E52" s="3491">
        <v>0.11442486932081347</v>
      </c>
      <c r="F52" s="3492">
        <v>0.17981410451753813</v>
      </c>
      <c r="G52" s="3493">
        <v>0.18241433483976696</v>
      </c>
      <c r="H52">
        <v>0.26406270829136991</v>
      </c>
      <c r="I52">
        <v>0.27570504986351763</v>
      </c>
      <c r="J52">
        <v>0.27266117072454893</v>
      </c>
      <c r="K52">
        <v>0.25442285541271864</v>
      </c>
      <c r="L52">
        <v>0.32434516456527074</v>
      </c>
      <c r="M52">
        <v>0.19149724091650119</v>
      </c>
      <c r="N52">
        <v>0.24676289151167308</v>
      </c>
      <c r="O52" s="3496">
        <v>0.45391215679578145</v>
      </c>
      <c r="P52" s="3668">
        <v>0.11567436935496707</v>
      </c>
      <c r="Q52" s="3669">
        <v>0.1462553053614217</v>
      </c>
      <c r="R52" s="3670">
        <v>0.14758487864039524</v>
      </c>
      <c r="S52">
        <v>0.20281613771224899</v>
      </c>
      <c r="T52">
        <v>0.19484689212143327</v>
      </c>
      <c r="U52">
        <v>0.18700053026079197</v>
      </c>
      <c r="V52" s="3669">
        <v>0.20244269307309656</v>
      </c>
      <c r="W52" s="3668">
        <v>0.1914093790590278</v>
      </c>
      <c r="X52">
        <v>0.18113367813895201</v>
      </c>
      <c r="Y52" s="3494">
        <v>0.29314997731789894</v>
      </c>
      <c r="Z52" s="3492">
        <v>0.2693897081018537</v>
      </c>
      <c r="AA52" s="3493">
        <v>0.24980657530930134</v>
      </c>
      <c r="AB52">
        <v>0.28668838306505512</v>
      </c>
      <c r="AC52" s="3668">
        <v>0.25749371843296576</v>
      </c>
      <c r="AD52" s="3670">
        <v>0.24091432833438711</v>
      </c>
      <c r="AE52" s="3497"/>
      <c r="AF52" s="3494">
        <v>0.23683992628589667</v>
      </c>
      <c r="AG52" s="3492">
        <v>0.21123903789617723</v>
      </c>
      <c r="AH52" s="3493">
        <v>0.18932700134636385</v>
      </c>
      <c r="AI52" s="3669">
        <v>0.2220250161222683</v>
      </c>
      <c r="AJ52" s="3668">
        <v>0.19550403216123063</v>
      </c>
      <c r="AK52">
        <v>0.17912105435046893</v>
      </c>
      <c r="AL52" s="3498">
        <v>0.20557647714842661</v>
      </c>
      <c r="AM52" s="3492">
        <v>0.1801667686438318</v>
      </c>
      <c r="AN52" s="3499">
        <v>0.16124201441659705</v>
      </c>
      <c r="AO52" s="3669">
        <v>0.26744726391392054</v>
      </c>
      <c r="AP52" s="3668">
        <v>0.24473683610889499</v>
      </c>
      <c r="AQ52" s="3670">
        <v>0.22652455562340129</v>
      </c>
      <c r="AR52" s="3495">
        <v>0.21146713358844371</v>
      </c>
      <c r="AS52" s="3492">
        <v>0.19329865156046377</v>
      </c>
      <c r="AT52" s="3493">
        <v>0.17932289615432534</v>
      </c>
      <c r="AU52" s="3669">
        <v>0.22138153012643788</v>
      </c>
      <c r="AV52" s="3668">
        <v>0.20052097620118176</v>
      </c>
      <c r="AW52" s="3670">
        <v>0.18487556075723963</v>
      </c>
      <c r="AX52" s="3494">
        <v>0.28495469244911298</v>
      </c>
      <c r="AY52" s="3492">
        <v>0.23662899928241962</v>
      </c>
      <c r="AZ52" s="3493">
        <v>0.20441187050462409</v>
      </c>
      <c r="BA52" s="3495">
        <v>0.39624442720519165</v>
      </c>
      <c r="BB52" s="3492">
        <v>0.33930415734992919</v>
      </c>
      <c r="BC52" s="3493">
        <v>0.30122614284829424</v>
      </c>
      <c r="BD52" s="3495">
        <v>0.3018937606822597</v>
      </c>
      <c r="BE52" s="3492">
        <v>0.27013168384817732</v>
      </c>
      <c r="BF52" s="3493">
        <v>0.23977277707505615</v>
      </c>
      <c r="BG52" s="3495">
        <v>0.42464760961714287</v>
      </c>
      <c r="BH52" s="3492">
        <v>0.3800411059563566</v>
      </c>
      <c r="BI52" s="3493">
        <v>0.34708335919372485</v>
      </c>
      <c r="BJ52" s="3499">
        <v>0.34769410159624742</v>
      </c>
      <c r="BK52" s="3493">
        <v>0.30331627521547988</v>
      </c>
      <c r="BL52" s="3493">
        <v>0.26869019253091508</v>
      </c>
      <c r="BM52" s="3493">
        <v>0.57071996054905427</v>
      </c>
      <c r="BN52" s="3493">
        <v>0.50893463933800098</v>
      </c>
      <c r="BO52" s="3493">
        <v>0.46022247141313527</v>
      </c>
      <c r="BP52" s="3496">
        <v>0.14732806563777431</v>
      </c>
      <c r="BQ52" s="3496">
        <v>0.42084994380171559</v>
      </c>
      <c r="BR52" s="3493">
        <v>0.51206956084058697</v>
      </c>
      <c r="BS52" s="3493">
        <v>0.45784695670207937</v>
      </c>
      <c r="BT52" s="3493">
        <v>0.41911652517457404</v>
      </c>
      <c r="BU52" s="3493">
        <v>0.41601510567827771</v>
      </c>
      <c r="BV52" s="3493">
        <v>0.38626514801622586</v>
      </c>
      <c r="BW52" s="3493">
        <v>0.35103765610291099</v>
      </c>
      <c r="BX52" s="3493">
        <v>0.57283520629085605</v>
      </c>
      <c r="BY52" s="3493">
        <v>0.48046167947208129</v>
      </c>
      <c r="BZ52" s="3493">
        <v>0.4227282252103472</v>
      </c>
      <c r="CA52" s="3493">
        <v>0.6865634415620353</v>
      </c>
      <c r="CB52" s="3493">
        <v>0.58637469290645172</v>
      </c>
      <c r="CC52" s="3493">
        <v>0.51958219380272919</v>
      </c>
      <c r="CD52" s="3493">
        <v>0.53207615395571717</v>
      </c>
      <c r="CE52" s="3493">
        <v>0.44526800356394874</v>
      </c>
      <c r="CF52" s="3493">
        <v>0.39101290956909351</v>
      </c>
      <c r="CG52" s="3493">
        <v>0.38920555455895323</v>
      </c>
      <c r="CH52" s="3493">
        <v>0.37410878221044419</v>
      </c>
      <c r="CI52" s="3493">
        <v>0.35575373895020379</v>
      </c>
      <c r="CJ52" s="3493">
        <v>0.53207615395571717</v>
      </c>
      <c r="CK52" s="3493">
        <v>0.44526800356394874</v>
      </c>
      <c r="CL52" s="3493">
        <v>0.39101290956909351</v>
      </c>
      <c r="CM52" s="3493">
        <v>0.70365421249425719</v>
      </c>
      <c r="CN52" s="3493">
        <v>0.58185776308824277</v>
      </c>
      <c r="CO52" s="3493">
        <v>0.50573498220948365</v>
      </c>
    </row>
    <row r="53" spans="2:93" ht="16.5" x14ac:dyDescent="0.2">
      <c r="B53" s="3500" t="s">
        <v>1429</v>
      </c>
      <c r="C53" s="3501"/>
      <c r="D53" s="3502" t="s">
        <v>1430</v>
      </c>
      <c r="E53" s="3503">
        <v>6.865492159248808E-2</v>
      </c>
      <c r="F53" s="3504">
        <v>0.10788846271052287</v>
      </c>
      <c r="G53" s="3505">
        <v>0.10944860090386017</v>
      </c>
      <c r="H53">
        <v>0.15843762497482189</v>
      </c>
      <c r="I53">
        <v>0.16542302991811059</v>
      </c>
      <c r="J53">
        <v>0.16359670243472935</v>
      </c>
      <c r="K53">
        <v>0.15265371324763119</v>
      </c>
      <c r="L53">
        <v>0.19460709873916243</v>
      </c>
      <c r="M53">
        <v>0.11489834454990069</v>
      </c>
      <c r="N53">
        <v>0.14805773490700386</v>
      </c>
      <c r="O53" s="3508">
        <v>0.27234729407746888</v>
      </c>
      <c r="P53" s="3671">
        <v>6.9404621612980236E-2</v>
      </c>
      <c r="Q53" s="3672">
        <v>8.775318321685302E-2</v>
      </c>
      <c r="R53" s="3673">
        <v>8.8550927184237155E-2</v>
      </c>
      <c r="S53">
        <v>0.12168968262734939</v>
      </c>
      <c r="T53">
        <v>0.11690813527285997</v>
      </c>
      <c r="U53">
        <v>0.11220031815647517</v>
      </c>
      <c r="V53" s="3672">
        <v>0.12146561584385794</v>
      </c>
      <c r="W53" s="3671">
        <v>0.11484562743541668</v>
      </c>
      <c r="X53">
        <v>0.1086802068833712</v>
      </c>
      <c r="Y53" s="3506">
        <v>0.17588998639073936</v>
      </c>
      <c r="Z53" s="3504">
        <v>0.16163382486111222</v>
      </c>
      <c r="AA53" s="3505">
        <v>0.14988394518558079</v>
      </c>
      <c r="AB53">
        <v>0.17201302983903308</v>
      </c>
      <c r="AC53" s="3671">
        <v>0.15449623105977944</v>
      </c>
      <c r="AD53" s="3673">
        <v>0.1445485970006323</v>
      </c>
      <c r="AE53" s="3497"/>
      <c r="AF53" s="3506">
        <v>0.142103955771538</v>
      </c>
      <c r="AG53" s="3504">
        <v>0.12674342273770633</v>
      </c>
      <c r="AH53" s="3505">
        <v>0.11359620080781832</v>
      </c>
      <c r="AI53" s="3672">
        <v>0.13321500967336097</v>
      </c>
      <c r="AJ53" s="3671">
        <v>0.11730241929673837</v>
      </c>
      <c r="AK53">
        <v>0.10747263261028138</v>
      </c>
      <c r="AL53" s="3509">
        <v>0.12334588628905598</v>
      </c>
      <c r="AM53" s="3504">
        <v>0.10810006118629907</v>
      </c>
      <c r="AN53" s="3510">
        <v>9.6745208649958225E-2</v>
      </c>
      <c r="AO53" s="3672">
        <v>0.16046835834835232</v>
      </c>
      <c r="AP53" s="3671">
        <v>0.14684210166533698</v>
      </c>
      <c r="AQ53" s="3673">
        <v>0.13591473337404078</v>
      </c>
      <c r="AR53" s="3507">
        <v>0.12688028015306621</v>
      </c>
      <c r="AS53" s="3504">
        <v>0.11597919093627826</v>
      </c>
      <c r="AT53" s="3505">
        <v>0.10759373769259521</v>
      </c>
      <c r="AU53" s="3672">
        <v>0.13282891807586272</v>
      </c>
      <c r="AV53" s="3671">
        <v>0.12031258572070903</v>
      </c>
      <c r="AW53" s="3673">
        <v>0.11092533645434377</v>
      </c>
      <c r="AX53" s="3506">
        <v>7.9154081235864719</v>
      </c>
      <c r="AY53" s="3504">
        <v>6.5730277578449892</v>
      </c>
      <c r="AZ53" s="3505">
        <v>5.6781075140173369</v>
      </c>
      <c r="BA53" s="3507">
        <v>11.006789644588657</v>
      </c>
      <c r="BB53" s="3504">
        <v>9.4251154819424769</v>
      </c>
      <c r="BC53" s="3505">
        <v>8.3673928568970641</v>
      </c>
      <c r="BD53" s="3507">
        <v>8.3859377967294382</v>
      </c>
      <c r="BE53" s="3504">
        <v>7.5036578846715924</v>
      </c>
      <c r="BF53" s="3505">
        <v>6.6603549187515609</v>
      </c>
      <c r="BG53" s="3507">
        <v>11.795766933809528</v>
      </c>
      <c r="BH53" s="3504">
        <v>10.556697387676573</v>
      </c>
      <c r="BI53" s="3505">
        <v>9.6412044220479149</v>
      </c>
      <c r="BJ53" s="3510">
        <v>9.658169488784651</v>
      </c>
      <c r="BK53" s="3505">
        <v>8.4254520893188882</v>
      </c>
      <c r="BL53" s="3505">
        <v>7.4636164591920879</v>
      </c>
      <c r="BM53" s="3505">
        <v>15.85333223747373</v>
      </c>
      <c r="BN53" s="3505">
        <v>14.137073314944473</v>
      </c>
      <c r="BO53" s="3505">
        <v>12.783957539253759</v>
      </c>
      <c r="BP53" s="3508">
        <v>4.0924462677159541</v>
      </c>
      <c r="BQ53" s="3508">
        <v>11.690276216714324</v>
      </c>
      <c r="BR53" s="3505">
        <v>14.224154467794083</v>
      </c>
      <c r="BS53" s="3505">
        <v>12.717971019502206</v>
      </c>
      <c r="BT53" s="3505">
        <v>11.642125699293723</v>
      </c>
      <c r="BU53" s="3505">
        <v>11.555975157729938</v>
      </c>
      <c r="BV53" s="3505">
        <v>10.729587444895165</v>
      </c>
      <c r="BW53" s="3505">
        <v>9.7510460028586401</v>
      </c>
      <c r="BX53" s="3505">
        <v>15.912089063634889</v>
      </c>
      <c r="BY53" s="3505">
        <v>13.346157763113368</v>
      </c>
      <c r="BZ53" s="3505">
        <v>11.742450700287423</v>
      </c>
      <c r="CA53" s="3505">
        <v>19.071206710056533</v>
      </c>
      <c r="CB53" s="3505">
        <v>16.288185914068102</v>
      </c>
      <c r="CC53" s="3505">
        <v>14.432838716742479</v>
      </c>
      <c r="CD53" s="3505">
        <v>14.779893165436588</v>
      </c>
      <c r="CE53" s="3505">
        <v>12.368555654554131</v>
      </c>
      <c r="CF53" s="3505">
        <v>10.861469710252598</v>
      </c>
      <c r="CG53" s="3505">
        <v>10.811265404415369</v>
      </c>
      <c r="CH53" s="3505">
        <v>10.391910616956784</v>
      </c>
      <c r="CI53" s="3505">
        <v>9.8820483041723293</v>
      </c>
      <c r="CJ53" s="3505">
        <v>14.779893165436588</v>
      </c>
      <c r="CK53" s="3505">
        <v>12.368555654554131</v>
      </c>
      <c r="CL53" s="3505">
        <v>10.861469710252598</v>
      </c>
      <c r="CM53" s="3505">
        <v>19.5459503470627</v>
      </c>
      <c r="CN53" s="3505">
        <v>16.162715641340075</v>
      </c>
      <c r="CO53" s="3505">
        <v>14.048193950263434</v>
      </c>
    </row>
    <row r="54" spans="2:93" ht="18" x14ac:dyDescent="0.2">
      <c r="B54" s="3440" t="s">
        <v>1431</v>
      </c>
      <c r="C54" s="3441"/>
      <c r="D54" s="3456" t="s">
        <v>1058</v>
      </c>
      <c r="E54" s="3319">
        <v>458.83800473299596</v>
      </c>
      <c r="F54" s="3320">
        <v>785.36057824341242</v>
      </c>
      <c r="G54" s="3321">
        <v>1179.9562456277745</v>
      </c>
      <c r="H54" s="3743">
        <v>994.74080464347367</v>
      </c>
      <c r="I54" s="3744">
        <v>1142.264712021692</v>
      </c>
      <c r="J54" s="3744">
        <v>1130.5058911053952</v>
      </c>
      <c r="K54" s="3745">
        <v>1601.718662571094</v>
      </c>
      <c r="L54" s="3746">
        <v>1257.2774058198656</v>
      </c>
      <c r="M54">
        <v>582.06251597408141</v>
      </c>
      <c r="N54">
        <v>987.84790688384828</v>
      </c>
      <c r="O54" s="3324">
        <v>3142.999903927192</v>
      </c>
      <c r="P54" s="3625">
        <v>300.93843931388233</v>
      </c>
      <c r="Q54" s="3626">
        <v>651.83064493478423</v>
      </c>
      <c r="R54" s="3627">
        <v>737.69194701811762</v>
      </c>
      <c r="S54" s="3743">
        <v>1057.7875662382346</v>
      </c>
      <c r="T54" s="3745">
        <v>1185.5946268358909</v>
      </c>
      <c r="U54">
        <v>1300.4016874335473</v>
      </c>
      <c r="V54" s="3626">
        <v>1090.4575662382347</v>
      </c>
      <c r="W54" s="3625">
        <v>1260.1436470351096</v>
      </c>
      <c r="X54">
        <v>1438.9802792392763</v>
      </c>
      <c r="Y54" s="3322">
        <v>1421.8990472323967</v>
      </c>
      <c r="Z54" s="3320">
        <v>1597.0189656945977</v>
      </c>
      <c r="AA54" s="3321">
        <v>1750.183586636138</v>
      </c>
      <c r="AB54">
        <v>1322.1695532062358</v>
      </c>
      <c r="AC54" s="3625">
        <v>1451.422567502651</v>
      </c>
      <c r="AD54" s="3627">
        <v>1604.8724804890699</v>
      </c>
      <c r="AE54" s="3325"/>
      <c r="AF54" s="3322">
        <v>1583.9854270000772</v>
      </c>
      <c r="AG54" s="3320">
        <v>1695.7213767115627</v>
      </c>
      <c r="AH54" s="3321">
        <v>1753.6413499706953</v>
      </c>
      <c r="AI54" s="3626">
        <v>1612.3012620766879</v>
      </c>
      <c r="AJ54" s="3625">
        <v>1741.8764102259518</v>
      </c>
      <c r="AK54">
        <v>1871.0662919552158</v>
      </c>
      <c r="AL54" s="3326">
        <v>307.59380393333333</v>
      </c>
      <c r="AM54" s="3320">
        <v>345.05539530666664</v>
      </c>
      <c r="AN54" s="3327">
        <v>386.01338251333334</v>
      </c>
      <c r="AO54" s="3626">
        <v>1299.7455621141494</v>
      </c>
      <c r="AP54" s="3625">
        <v>1411.5307154156767</v>
      </c>
      <c r="AQ54" s="3627">
        <v>1493.1320779005373</v>
      </c>
      <c r="AR54" s="3323">
        <v>1456.881670144224</v>
      </c>
      <c r="AS54" s="3320">
        <v>1531.468489569758</v>
      </c>
      <c r="AT54" s="3321">
        <v>1606.0553089952919</v>
      </c>
      <c r="AU54" s="3626">
        <v>1502.5142311528327</v>
      </c>
      <c r="AV54" s="3625">
        <v>1587.7561703122681</v>
      </c>
      <c r="AW54" s="3627">
        <v>1672.9981094717036</v>
      </c>
      <c r="AX54" s="3322">
        <v>1018.7244236932768</v>
      </c>
      <c r="AY54" s="3320">
        <v>1057.4476719932768</v>
      </c>
      <c r="AZ54" s="3321">
        <v>1096.170920293277</v>
      </c>
      <c r="BA54" s="3323">
        <v>1416.5896770356483</v>
      </c>
      <c r="BB54" s="3320">
        <v>1516.2824183653636</v>
      </c>
      <c r="BC54" s="3321">
        <v>1615.3432645925488</v>
      </c>
      <c r="BD54" s="3323">
        <v>843.18927358555129</v>
      </c>
      <c r="BE54" s="3320">
        <v>905.37335158555106</v>
      </c>
      <c r="BF54" s="3321">
        <v>937.55951291888459</v>
      </c>
      <c r="BG54" s="3323">
        <v>1186.0407736606801</v>
      </c>
      <c r="BH54" s="3320">
        <v>1273.7457707233248</v>
      </c>
      <c r="BI54" s="3321">
        <v>1357.1653511193031</v>
      </c>
      <c r="BJ54" s="3327">
        <v>801.75999816434273</v>
      </c>
      <c r="BK54" s="3321">
        <v>854.85597399767607</v>
      </c>
      <c r="BL54" s="3321">
        <v>894.95194983100941</v>
      </c>
      <c r="BM54" s="3321">
        <v>1462.2701469207591</v>
      </c>
      <c r="BN54" s="3321">
        <v>1564.7602634158309</v>
      </c>
      <c r="BO54" s="3321">
        <v>1650.8226071836302</v>
      </c>
      <c r="BP54" s="3324">
        <v>9.4849808657599119</v>
      </c>
      <c r="BQ54" s="3324">
        <v>29.680340887330797</v>
      </c>
      <c r="BR54" s="3321">
        <v>655.99951265385482</v>
      </c>
      <c r="BS54" s="3321">
        <v>703.84354806853958</v>
      </c>
      <c r="BT54" s="3321">
        <v>751.68758348322433</v>
      </c>
      <c r="BU54" s="3321">
        <v>1857.0914317478316</v>
      </c>
      <c r="BV54" s="3321">
        <v>1945.2119721523129</v>
      </c>
      <c r="BW54" s="3321">
        <v>2046.9356765016844</v>
      </c>
      <c r="BX54" s="3321">
        <v>1417.0797333223195</v>
      </c>
      <c r="BY54" s="3321">
        <v>1417.0797333223195</v>
      </c>
      <c r="BZ54" s="3321">
        <v>1417.0797333223195</v>
      </c>
      <c r="CA54" s="3321">
        <v>1310.2102093393257</v>
      </c>
      <c r="CB54" s="3321">
        <v>1310.2102093393257</v>
      </c>
      <c r="CC54" s="3321">
        <v>1310.2102093393257</v>
      </c>
      <c r="CD54" s="3321">
        <v>1316.2499896556531</v>
      </c>
      <c r="CE54" s="3321">
        <v>1316.2499896556531</v>
      </c>
      <c r="CF54" s="3321">
        <v>1316.2499896556531</v>
      </c>
      <c r="CG54" s="3321">
        <v>1794.9654209037997</v>
      </c>
      <c r="CH54" s="3321">
        <v>1917.045632680979</v>
      </c>
      <c r="CI54" s="3321">
        <v>2005.2877729527825</v>
      </c>
      <c r="CJ54" s="3321">
        <v>1316.2499896556531</v>
      </c>
      <c r="CK54" s="3321">
        <v>1431.9551833814453</v>
      </c>
      <c r="CL54" s="3321">
        <v>1547.6603771072378</v>
      </c>
      <c r="CM54" s="3321">
        <v>1388.4153093830437</v>
      </c>
      <c r="CN54" s="3321">
        <v>1492.5204388088362</v>
      </c>
      <c r="CO54" s="3321">
        <v>1596.6255682346284</v>
      </c>
    </row>
    <row r="55" spans="2:93" ht="19.5" x14ac:dyDescent="0.2">
      <c r="B55" s="3460" t="s">
        <v>1432</v>
      </c>
      <c r="C55" s="3511"/>
      <c r="D55" s="3512" t="s">
        <v>1433</v>
      </c>
      <c r="E55" s="3513">
        <v>0.11442486932081347</v>
      </c>
      <c r="F55" s="3514">
        <v>0.17981410451753813</v>
      </c>
      <c r="G55" s="3515">
        <v>0.18241433483976696</v>
      </c>
      <c r="H55">
        <v>0.26406270829136991</v>
      </c>
      <c r="I55">
        <v>0.27570504986351763</v>
      </c>
      <c r="J55">
        <v>0.27266117072454893</v>
      </c>
      <c r="K55">
        <v>0.25442285541271864</v>
      </c>
      <c r="L55">
        <v>0.32434516456527074</v>
      </c>
      <c r="M55">
        <v>0.19149724091650119</v>
      </c>
      <c r="N55">
        <v>0.24676289151167308</v>
      </c>
      <c r="O55" s="3518">
        <v>0.45391215679578145</v>
      </c>
      <c r="P55" s="3674">
        <v>0.11567436935496707</v>
      </c>
      <c r="Q55" s="3675">
        <v>0.1462553053614217</v>
      </c>
      <c r="R55" s="3676">
        <v>0.14758487864039524</v>
      </c>
      <c r="S55">
        <v>0.20281613771224899</v>
      </c>
      <c r="T55">
        <v>0.19484689212143327</v>
      </c>
      <c r="U55">
        <v>0.18700053026079197</v>
      </c>
      <c r="V55" s="3675">
        <v>0.20244269307309656</v>
      </c>
      <c r="W55" s="3674">
        <v>0.1914093790590278</v>
      </c>
      <c r="X55">
        <v>0.18113367813895201</v>
      </c>
      <c r="Y55" s="3516">
        <v>0.29314997731789894</v>
      </c>
      <c r="Z55" s="3514">
        <v>0.2693897081018537</v>
      </c>
      <c r="AA55" s="3515">
        <v>0.24980657530930134</v>
      </c>
      <c r="AB55">
        <v>0.28668838306505512</v>
      </c>
      <c r="AC55" s="3674">
        <v>0.25749371843296576</v>
      </c>
      <c r="AD55" s="3676">
        <v>0.24091432833438711</v>
      </c>
      <c r="AE55" s="3519"/>
      <c r="AF55" s="3516">
        <v>0.23683992628589667</v>
      </c>
      <c r="AG55" s="3514">
        <v>0.21123903789617723</v>
      </c>
      <c r="AH55" s="3515">
        <v>0.18932700134636385</v>
      </c>
      <c r="AI55" s="3675">
        <v>0.2220250161222683</v>
      </c>
      <c r="AJ55" s="3674">
        <v>0.19550403216123063</v>
      </c>
      <c r="AK55">
        <v>0.17912105435046893</v>
      </c>
      <c r="AL55" s="3520">
        <v>0.20557647714842661</v>
      </c>
      <c r="AM55" s="3514">
        <v>0.1801667686438318</v>
      </c>
      <c r="AN55" s="3521">
        <v>0.16124201441659705</v>
      </c>
      <c r="AO55" s="3675">
        <v>0.26744726391392054</v>
      </c>
      <c r="AP55" s="3674">
        <v>0.24473683610889499</v>
      </c>
      <c r="AQ55" s="3676">
        <v>0.22652455562340129</v>
      </c>
      <c r="AR55" s="3517">
        <v>0.21146713358844371</v>
      </c>
      <c r="AS55" s="3514">
        <v>0.19329865156046377</v>
      </c>
      <c r="AT55" s="3515">
        <v>0.17932289615432534</v>
      </c>
      <c r="AU55" s="3675">
        <v>0.22138153012643788</v>
      </c>
      <c r="AV55" s="3674">
        <v>0.20052097620118176</v>
      </c>
      <c r="AW55" s="3676">
        <v>0.18487556075723963</v>
      </c>
      <c r="AX55" s="3516">
        <v>0.28495469244911298</v>
      </c>
      <c r="AY55" s="3514">
        <v>0.23662899928241962</v>
      </c>
      <c r="AZ55" s="3515">
        <v>0.20441187050462409</v>
      </c>
      <c r="BA55" s="3517">
        <v>0.39624442720519165</v>
      </c>
      <c r="BB55" s="3514">
        <v>0.33930415734992919</v>
      </c>
      <c r="BC55" s="3515">
        <v>0.30122614284829424</v>
      </c>
      <c r="BD55" s="3517">
        <v>0.3018937606822597</v>
      </c>
      <c r="BE55" s="3514">
        <v>0.27013168384817732</v>
      </c>
      <c r="BF55" s="3515">
        <v>0.23977277707505615</v>
      </c>
      <c r="BG55" s="3517">
        <v>0.42464760961714287</v>
      </c>
      <c r="BH55" s="3514">
        <v>0.3800411059563566</v>
      </c>
      <c r="BI55" s="3515">
        <v>0.34708335919372485</v>
      </c>
      <c r="BJ55" s="3521">
        <v>0.34769410159624742</v>
      </c>
      <c r="BK55" s="3515">
        <v>0.30331627521547988</v>
      </c>
      <c r="BL55" s="3515">
        <v>0.26869019253091508</v>
      </c>
      <c r="BM55" s="3515">
        <v>0.57071996054905427</v>
      </c>
      <c r="BN55" s="3515">
        <v>0.50893463933800098</v>
      </c>
      <c r="BO55" s="3515">
        <v>0.46022247141313527</v>
      </c>
      <c r="BP55" s="3518">
        <v>0.14732806563777431</v>
      </c>
      <c r="BQ55" s="3518">
        <v>0.42084994380171559</v>
      </c>
      <c r="BR55" s="3515">
        <v>0.51206956084058697</v>
      </c>
      <c r="BS55" s="3515">
        <v>0.45784695670207937</v>
      </c>
      <c r="BT55" s="3515">
        <v>0.41911652517457404</v>
      </c>
      <c r="BU55" s="3515">
        <v>0.41601510567827771</v>
      </c>
      <c r="BV55" s="3515">
        <v>0.38626514801622586</v>
      </c>
      <c r="BW55" s="3515">
        <v>0.35103765610291099</v>
      </c>
      <c r="BX55" s="3515">
        <v>0.57283520629085605</v>
      </c>
      <c r="BY55" s="3515">
        <v>0.57283520629085605</v>
      </c>
      <c r="BZ55" s="3515">
        <v>0.57283520629085605</v>
      </c>
      <c r="CA55" s="3515">
        <v>0.6865634415620353</v>
      </c>
      <c r="CB55" s="3515">
        <v>0.6865634415620353</v>
      </c>
      <c r="CC55" s="3515">
        <v>0.6865634415620353</v>
      </c>
      <c r="CD55" s="3515">
        <v>0.53207615395571717</v>
      </c>
      <c r="CE55" s="3515">
        <v>0.53207615395571717</v>
      </c>
      <c r="CF55" s="3515">
        <v>0.53207615395571717</v>
      </c>
      <c r="CG55" s="3515">
        <v>0.38920555455895323</v>
      </c>
      <c r="CH55" s="3515">
        <v>0.37410878221044419</v>
      </c>
      <c r="CI55" s="3515">
        <v>0.35575373895020379</v>
      </c>
      <c r="CJ55" s="3515">
        <v>0.53207615395571717</v>
      </c>
      <c r="CK55" s="3515">
        <v>0.44526800356394874</v>
      </c>
      <c r="CL55" s="3515">
        <v>0.39101290956909351</v>
      </c>
      <c r="CM55" s="3515">
        <v>0.70365421249425719</v>
      </c>
      <c r="CN55" s="3515">
        <v>0.58185776308824277</v>
      </c>
      <c r="CO55" s="3515">
        <v>0.50573498220948365</v>
      </c>
    </row>
    <row r="56" spans="2:93" ht="18.75" thickBot="1" x14ac:dyDescent="0.25">
      <c r="B56" s="3339"/>
      <c r="C56" s="3522"/>
      <c r="D56" s="3474" t="s">
        <v>1406</v>
      </c>
      <c r="E56" s="3523">
        <v>6.865492159248808E-2</v>
      </c>
      <c r="F56" s="3524">
        <v>0.10788846271052287</v>
      </c>
      <c r="G56" s="3525">
        <v>0.10944860090386017</v>
      </c>
      <c r="H56">
        <v>0.15843762497482189</v>
      </c>
      <c r="I56">
        <v>0.16542302991811059</v>
      </c>
      <c r="J56">
        <v>0.16359670243472935</v>
      </c>
      <c r="K56">
        <v>0.15265371324763119</v>
      </c>
      <c r="L56">
        <v>0.19460709873916243</v>
      </c>
      <c r="M56">
        <v>0.11489834454990069</v>
      </c>
      <c r="N56">
        <v>0.14805773490700386</v>
      </c>
      <c r="O56" s="3528">
        <v>0.27234729407746888</v>
      </c>
      <c r="P56" s="3677">
        <v>6.9404621612980236E-2</v>
      </c>
      <c r="Q56" s="3678">
        <v>8.775318321685302E-2</v>
      </c>
      <c r="R56" s="3679">
        <v>8.8550927184237155E-2</v>
      </c>
      <c r="S56">
        <v>0.12168968262734939</v>
      </c>
      <c r="T56">
        <v>0.11690813527285997</v>
      </c>
      <c r="U56">
        <v>0.11220031815647517</v>
      </c>
      <c r="V56" s="3678">
        <v>0.12146561584385794</v>
      </c>
      <c r="W56" s="3677">
        <v>0.11484562743541668</v>
      </c>
      <c r="X56">
        <v>0.1086802068833712</v>
      </c>
      <c r="Y56" s="3526">
        <v>0.17588998639073936</v>
      </c>
      <c r="Z56" s="3524">
        <v>0.16163382486111222</v>
      </c>
      <c r="AA56" s="3525">
        <v>0.14988394518558079</v>
      </c>
      <c r="AB56">
        <v>0.17201302983903308</v>
      </c>
      <c r="AC56" s="3677">
        <v>0.15449623105977944</v>
      </c>
      <c r="AD56" s="3679">
        <v>0.1445485970006323</v>
      </c>
      <c r="AE56" s="3529"/>
      <c r="AF56" s="3526">
        <v>0.142103955771538</v>
      </c>
      <c r="AG56" s="3524">
        <v>0.12674342273770633</v>
      </c>
      <c r="AH56" s="3525">
        <v>0.11359620080781832</v>
      </c>
      <c r="AI56" s="3678">
        <v>0.13321500967336097</v>
      </c>
      <c r="AJ56" s="3677">
        <v>0.11730241929673837</v>
      </c>
      <c r="AK56">
        <v>0.10747263261028138</v>
      </c>
      <c r="AL56" s="3530">
        <v>0.12334588628905598</v>
      </c>
      <c r="AM56" s="3524">
        <v>0.10810006118629907</v>
      </c>
      <c r="AN56" s="3531">
        <v>9.6745208649958225E-2</v>
      </c>
      <c r="AO56" s="3678">
        <v>0.16046835834835232</v>
      </c>
      <c r="AP56" s="3677">
        <v>0.14684210166533698</v>
      </c>
      <c r="AQ56" s="3679">
        <v>0.13591473337404078</v>
      </c>
      <c r="AR56" s="3527">
        <v>0.12688028015306621</v>
      </c>
      <c r="AS56" s="3524">
        <v>0.11597919093627826</v>
      </c>
      <c r="AT56" s="3525">
        <v>0.10759373769259521</v>
      </c>
      <c r="AU56" s="3678">
        <v>0.13282891807586272</v>
      </c>
      <c r="AV56" s="3677">
        <v>0.12031258572070903</v>
      </c>
      <c r="AW56" s="3679">
        <v>0.11092533645434377</v>
      </c>
      <c r="AX56" s="3526">
        <v>7.9154081235864719</v>
      </c>
      <c r="AY56" s="3524">
        <v>6.5730277578449892</v>
      </c>
      <c r="AZ56" s="3525">
        <v>5.6781075140173369</v>
      </c>
      <c r="BA56" s="3527">
        <v>11.006789644588657</v>
      </c>
      <c r="BB56" s="3524">
        <v>9.4251154819424769</v>
      </c>
      <c r="BC56" s="3525">
        <v>8.3673928568970641</v>
      </c>
      <c r="BD56" s="3527">
        <v>8.3859377967294382</v>
      </c>
      <c r="BE56" s="3524">
        <v>7.5036578846715924</v>
      </c>
      <c r="BF56" s="3525">
        <v>6.6603549187515609</v>
      </c>
      <c r="BG56" s="3527">
        <v>11.795766933809528</v>
      </c>
      <c r="BH56" s="3524">
        <v>10.556697387676573</v>
      </c>
      <c r="BI56" s="3525">
        <v>9.6412044220479149</v>
      </c>
      <c r="BJ56" s="3531">
        <v>9.658169488784651</v>
      </c>
      <c r="BK56" s="3525">
        <v>8.4254520893188882</v>
      </c>
      <c r="BL56" s="3525">
        <v>7.4636164591920879</v>
      </c>
      <c r="BM56" s="3525">
        <v>15.85333223747373</v>
      </c>
      <c r="BN56" s="3525">
        <v>14.137073314944473</v>
      </c>
      <c r="BO56" s="3525">
        <v>12.783957539253759</v>
      </c>
      <c r="BP56" s="3528">
        <v>283.1074525303676</v>
      </c>
      <c r="BQ56" s="3528">
        <v>808.71051263367417</v>
      </c>
      <c r="BR56" s="3525">
        <v>14.224154467794083</v>
      </c>
      <c r="BS56" s="3525">
        <v>12.717971019502206</v>
      </c>
      <c r="BT56" s="3525">
        <v>11.642125699293723</v>
      </c>
      <c r="BU56" s="3525">
        <v>11.555975157729938</v>
      </c>
      <c r="BV56" s="3525">
        <v>10.729587444895165</v>
      </c>
      <c r="BW56" s="3525">
        <v>9.7510460028586401</v>
      </c>
      <c r="BX56" s="3525">
        <v>15.912089063634889</v>
      </c>
      <c r="BY56" s="3525">
        <v>15.912089063634889</v>
      </c>
      <c r="BZ56" s="3525">
        <v>15.912089063634889</v>
      </c>
      <c r="CA56" s="3525">
        <v>19.071206710056533</v>
      </c>
      <c r="CB56" s="3525">
        <v>19.071206710056533</v>
      </c>
      <c r="CC56" s="3525">
        <v>19.071206710056533</v>
      </c>
      <c r="CD56" s="3525">
        <v>14.779893165436588</v>
      </c>
      <c r="CE56" s="3525">
        <v>14.779893165436588</v>
      </c>
      <c r="CF56" s="3525">
        <v>14.779893165436588</v>
      </c>
      <c r="CG56" s="3525">
        <v>10.811265404415369</v>
      </c>
      <c r="CH56" s="3525">
        <v>10.391910616956784</v>
      </c>
      <c r="CI56" s="3525">
        <v>9.8820483041723293</v>
      </c>
      <c r="CJ56" s="3525">
        <v>14.779893165436588</v>
      </c>
      <c r="CK56" s="3525">
        <v>12.368555654554131</v>
      </c>
      <c r="CL56" s="3525">
        <v>10.861469710252598</v>
      </c>
      <c r="CM56" s="3525">
        <v>19.5459503470627</v>
      </c>
      <c r="CN56" s="3525">
        <v>16.162715641340075</v>
      </c>
      <c r="CO56" s="3525">
        <v>14.048193950263434</v>
      </c>
    </row>
    <row r="57" spans="2:93" ht="16.5" x14ac:dyDescent="0.2">
      <c r="B57" s="3532" t="s">
        <v>591</v>
      </c>
      <c r="C57" s="3533"/>
      <c r="D57" s="3534" t="s">
        <v>1058</v>
      </c>
      <c r="E57" s="3535">
        <v>287.13704591662355</v>
      </c>
      <c r="F57" s="3536">
        <v>330.78116067704019</v>
      </c>
      <c r="G57" s="3537">
        <v>590.58666588269614</v>
      </c>
      <c r="H57">
        <v>332.90332290686791</v>
      </c>
      <c r="I57">
        <v>352.9956895621628</v>
      </c>
      <c r="J57">
        <v>351.18136814577542</v>
      </c>
      <c r="K57">
        <v>611.17413061343586</v>
      </c>
      <c r="L57">
        <v>324.17644322991629</v>
      </c>
      <c r="M57">
        <v>205.66560110753892</v>
      </c>
      <c r="N57">
        <v>293.62878981636931</v>
      </c>
      <c r="O57" s="3540">
        <v>591.0926644702223</v>
      </c>
      <c r="P57" s="3680">
        <v>234.15103186760786</v>
      </c>
      <c r="Q57" s="3681">
        <v>431.95563067439218</v>
      </c>
      <c r="R57" s="3682">
        <v>465.84193275772549</v>
      </c>
      <c r="S57">
        <v>358.17108044983945</v>
      </c>
      <c r="T57">
        <v>407.95709276624575</v>
      </c>
      <c r="U57">
        <v>457.74310508265199</v>
      </c>
      <c r="V57" s="3681">
        <v>390.84108044983941</v>
      </c>
      <c r="W57" s="3680">
        <v>466.49909687171447</v>
      </c>
      <c r="X57">
        <v>555.54592957588102</v>
      </c>
      <c r="Y57" s="3538">
        <v>421.49012437310296</v>
      </c>
      <c r="Z57" s="3536">
        <v>497.18979134488956</v>
      </c>
      <c r="AA57" s="3537">
        <v>572.88945831667615</v>
      </c>
      <c r="AB57">
        <v>303.0733327074268</v>
      </c>
      <c r="AC57" s="3680">
        <v>349.68786243421226</v>
      </c>
      <c r="AD57" s="3682">
        <v>397.67250275737035</v>
      </c>
      <c r="AE57" s="3207"/>
      <c r="AF57" s="3538">
        <v>628.70379588932701</v>
      </c>
      <c r="AG57" s="3536">
        <v>692.83906128138278</v>
      </c>
      <c r="AH57" s="3537">
        <v>756.45333356226206</v>
      </c>
      <c r="AI57" s="3681">
        <v>641.34774304322821</v>
      </c>
      <c r="AJ57" s="3680">
        <v>717.67832856316954</v>
      </c>
      <c r="AK57">
        <v>793.623647663111</v>
      </c>
      <c r="AL57" s="3541">
        <v>128.43767193333332</v>
      </c>
      <c r="AM57" s="3536">
        <v>152.95885450666665</v>
      </c>
      <c r="AN57" s="3542">
        <v>180.97643291333333</v>
      </c>
      <c r="AO57" s="3681">
        <v>412.93641581313449</v>
      </c>
      <c r="AP57" s="3680">
        <v>491.52801061314716</v>
      </c>
      <c r="AQ57" s="3682">
        <v>539.93581459649317</v>
      </c>
      <c r="AR57" s="3539">
        <v>566.76585428784813</v>
      </c>
      <c r="AS57" s="3536">
        <v>610.24224409683211</v>
      </c>
      <c r="AT57" s="3537">
        <v>653.7186339058162</v>
      </c>
      <c r="AU57" s="3681">
        <v>577.2305803533992</v>
      </c>
      <c r="AV57" s="3680">
        <v>627.23851411504745</v>
      </c>
      <c r="AW57" s="3682">
        <v>677.24644787669558</v>
      </c>
      <c r="AX57" s="3538">
        <v>299.05898673330836</v>
      </c>
      <c r="AY57" s="3536">
        <v>315.56518957876307</v>
      </c>
      <c r="AZ57" s="3537">
        <v>332.07139242421755</v>
      </c>
      <c r="BA57" s="3539">
        <v>344.18676802636008</v>
      </c>
      <c r="BB57" s="3536">
        <v>360.95389510046004</v>
      </c>
      <c r="BC57" s="3537">
        <v>377.71931436379509</v>
      </c>
      <c r="BD57" s="3539">
        <v>167.93554361396082</v>
      </c>
      <c r="BE57" s="3536">
        <v>215.03742161396073</v>
      </c>
      <c r="BF57" s="3537">
        <v>232.14138294729415</v>
      </c>
      <c r="BG57" s="3539">
        <v>212.81540748707286</v>
      </c>
      <c r="BH57" s="3536">
        <v>242.97659159502851</v>
      </c>
      <c r="BI57" s="3537">
        <v>268.85235903631764</v>
      </c>
      <c r="BJ57" s="3542">
        <v>94.309334375568582</v>
      </c>
      <c r="BK57" s="3537">
        <v>102.15021020890201</v>
      </c>
      <c r="BL57" s="3537">
        <v>109.99108604223532</v>
      </c>
      <c r="BM57" s="3537">
        <v>130.83011312186508</v>
      </c>
      <c r="BN57" s="3537">
        <v>138.92440888177924</v>
      </c>
      <c r="BO57" s="3537">
        <v>147.01870464169349</v>
      </c>
      <c r="BP57" s="3540">
        <v>48.114443462907879</v>
      </c>
      <c r="BQ57" s="3540">
        <v>80.338172371605282</v>
      </c>
      <c r="BR57" s="3537">
        <v>149.6486051665608</v>
      </c>
      <c r="BS57" s="3537">
        <v>154.1006215129631</v>
      </c>
      <c r="BT57" s="3537">
        <v>158.55263785936552</v>
      </c>
      <c r="BU57" s="3537">
        <v>466.23684075394442</v>
      </c>
      <c r="BV57" s="3537">
        <v>476.97790383246712</v>
      </c>
      <c r="BW57" s="3537">
        <v>491.80653624244593</v>
      </c>
      <c r="BX57" s="3537">
        <v>201.66493428868421</v>
      </c>
      <c r="BY57" s="3537">
        <v>215.01261015776788</v>
      </c>
      <c r="BZ57" s="3537">
        <v>228.36028602685161</v>
      </c>
      <c r="CA57" s="3537">
        <v>276.56083022270906</v>
      </c>
      <c r="CB57" s="3537">
        <v>291.57099394051374</v>
      </c>
      <c r="CC57" s="3537">
        <v>306.58115765831832</v>
      </c>
      <c r="CD57" s="3537">
        <v>258.33519062201759</v>
      </c>
      <c r="CE57" s="3537">
        <v>276.83186005776787</v>
      </c>
      <c r="CF57" s="3537">
        <v>295.32852949351826</v>
      </c>
      <c r="CG57" s="3537">
        <v>365.26335170991206</v>
      </c>
      <c r="CH57" s="3537">
        <v>412.51019402212023</v>
      </c>
      <c r="CI57" s="3537">
        <v>429.75911966766159</v>
      </c>
      <c r="CJ57" s="3537">
        <v>258.33519062201759</v>
      </c>
      <c r="CK57" s="3537">
        <v>276.83186005776787</v>
      </c>
      <c r="CL57" s="3537">
        <v>295.32852949351826</v>
      </c>
      <c r="CM57" s="3537">
        <v>537.55441072995745</v>
      </c>
      <c r="CN57" s="3537">
        <v>547.10151586570782</v>
      </c>
      <c r="CO57" s="3537">
        <v>556.64862100145808</v>
      </c>
    </row>
    <row r="58" spans="2:93" ht="16.5" x14ac:dyDescent="0.2">
      <c r="B58" s="3543"/>
      <c r="C58" s="3544"/>
      <c r="D58" s="3545" t="s">
        <v>1058</v>
      </c>
      <c r="E58" s="3546"/>
      <c r="F58" s="3547"/>
      <c r="G58" s="3548"/>
      <c r="H58" s="3739"/>
      <c r="I58" s="3740"/>
      <c r="J58" s="3740"/>
      <c r="K58" s="3741"/>
      <c r="L58" s="3742"/>
      <c r="O58" s="3551"/>
      <c r="P58" s="3622"/>
      <c r="Q58" s="3623"/>
      <c r="R58" s="3624"/>
      <c r="S58" s="3739"/>
      <c r="T58" s="3741"/>
      <c r="U58"/>
      <c r="V58" s="3623"/>
      <c r="W58" s="3622"/>
      <c r="X58"/>
      <c r="Y58" s="3549"/>
      <c r="Z58" s="3547"/>
      <c r="AA58" s="3548"/>
      <c r="AB58"/>
      <c r="AC58" s="3622"/>
      <c r="AD58" s="3624"/>
      <c r="AE58" s="3207"/>
      <c r="AF58" s="3549"/>
      <c r="AG58" s="3547"/>
      <c r="AH58" s="3548"/>
      <c r="AI58" s="3623"/>
      <c r="AJ58" s="3622"/>
      <c r="AK58"/>
      <c r="AL58" s="3552"/>
      <c r="AM58" s="3547"/>
      <c r="AN58" s="3553"/>
      <c r="AO58" s="3623"/>
      <c r="AP58" s="3622"/>
      <c r="AQ58" s="3624"/>
      <c r="AR58" s="3550"/>
      <c r="AS58" s="3547"/>
      <c r="AT58" s="3548"/>
      <c r="AU58" s="3623"/>
      <c r="AV58" s="3622"/>
      <c r="AW58" s="3624"/>
      <c r="AX58" s="3549"/>
      <c r="AY58" s="3547"/>
      <c r="AZ58" s="3548"/>
      <c r="BA58" s="3550"/>
      <c r="BB58" s="3547"/>
      <c r="BC58" s="3548"/>
      <c r="BD58" s="3550"/>
      <c r="BE58" s="3547"/>
      <c r="BF58" s="3548"/>
      <c r="BG58" s="3550"/>
      <c r="BH58" s="3547"/>
      <c r="BI58" s="3548"/>
      <c r="BJ58" s="3553"/>
      <c r="BK58" s="3548"/>
      <c r="BL58" s="3548"/>
      <c r="BM58" s="3548"/>
      <c r="BN58" s="3548"/>
      <c r="BO58" s="3548"/>
      <c r="BP58" s="3551"/>
      <c r="BQ58" s="3551"/>
      <c r="BR58" s="3548"/>
      <c r="BS58" s="3548"/>
      <c r="BT58" s="3548"/>
      <c r="BU58" s="3548"/>
      <c r="BV58" s="3548"/>
      <c r="BW58" s="3548"/>
      <c r="BX58" s="3548"/>
      <c r="BY58" s="3548"/>
      <c r="BZ58" s="3548"/>
      <c r="CA58" s="3548"/>
      <c r="CB58" s="3548"/>
      <c r="CC58" s="3548"/>
      <c r="CD58" s="3548"/>
      <c r="CE58" s="3548"/>
      <c r="CF58" s="3548"/>
      <c r="CG58" s="3548"/>
      <c r="CH58" s="3548"/>
      <c r="CI58" s="3548"/>
      <c r="CJ58" s="3548"/>
      <c r="CK58" s="3548"/>
      <c r="CL58" s="3548"/>
      <c r="CM58" s="3548"/>
      <c r="CN58" s="3548"/>
      <c r="CO58" s="3548"/>
    </row>
    <row r="59" spans="2:93" ht="17.25" thickBot="1" x14ac:dyDescent="0.25">
      <c r="B59" s="3554" t="s">
        <v>1434</v>
      </c>
      <c r="C59" s="3555"/>
      <c r="D59" s="3556" t="s">
        <v>1058</v>
      </c>
      <c r="E59" s="3557">
        <v>464.20095881637235</v>
      </c>
      <c r="F59" s="3558">
        <v>492.0794175663724</v>
      </c>
      <c r="G59" s="3559">
        <v>609.86957974507823</v>
      </c>
      <c r="H59">
        <v>732.29581506993929</v>
      </c>
      <c r="I59">
        <v>749.58152245952931</v>
      </c>
      <c r="J59">
        <v>739.6370229596198</v>
      </c>
      <c r="K59">
        <v>897.83619862432488</v>
      </c>
      <c r="L59">
        <v>970.60096258994952</v>
      </c>
      <c r="M59">
        <v>578.02482184328676</v>
      </c>
      <c r="N59">
        <v>768.12900078840926</v>
      </c>
      <c r="O59" s="3562">
        <v>2539.092424642155</v>
      </c>
      <c r="P59" s="3683">
        <v>359.28740744627453</v>
      </c>
      <c r="Q59" s="3684">
        <v>407.37501426039205</v>
      </c>
      <c r="R59" s="3685">
        <v>459.35001426039219</v>
      </c>
      <c r="S59">
        <v>667.11648578839527</v>
      </c>
      <c r="T59">
        <v>715.1375340696452</v>
      </c>
      <c r="U59">
        <v>763.15858235089536</v>
      </c>
      <c r="V59" s="3684">
        <v>667.11648578839527</v>
      </c>
      <c r="W59" s="3683">
        <v>731.14455016339525</v>
      </c>
      <c r="X59">
        <v>803.93434966339532</v>
      </c>
      <c r="Y59" s="3560">
        <v>967.90892285929363</v>
      </c>
      <c r="Z59" s="3558">
        <v>1037.3291743497082</v>
      </c>
      <c r="AA59" s="3559">
        <v>1097.7941283194616</v>
      </c>
      <c r="AB59">
        <v>1000.5247877130666</v>
      </c>
      <c r="AC59" s="3683">
        <v>1039.2347050684384</v>
      </c>
      <c r="AD59" s="3685">
        <v>1127.6999777316996</v>
      </c>
      <c r="AE59" s="3563"/>
      <c r="AF59" s="3560">
        <v>912.40158815745235</v>
      </c>
      <c r="AG59" s="3558">
        <v>950.38231543017969</v>
      </c>
      <c r="AH59" s="3559">
        <v>944.68801640843299</v>
      </c>
      <c r="AI59" s="3684">
        <v>859.87721802641852</v>
      </c>
      <c r="AJ59" s="3683">
        <v>901.6980816627821</v>
      </c>
      <c r="AK59">
        <v>954.94264429210489</v>
      </c>
      <c r="AL59" s="3564">
        <v>184.7255408</v>
      </c>
      <c r="AM59" s="3558">
        <v>192.09654079999999</v>
      </c>
      <c r="AN59" s="3565">
        <v>205.03694960000001</v>
      </c>
      <c r="AO59" s="3684">
        <v>769.96387730252945</v>
      </c>
      <c r="AP59" s="3683">
        <v>797.50270480252948</v>
      </c>
      <c r="AQ59" s="3685">
        <v>830.69626330404424</v>
      </c>
      <c r="AR59" s="3561">
        <v>771.96560893446429</v>
      </c>
      <c r="AS59" s="3558">
        <v>798.72624547292583</v>
      </c>
      <c r="AT59" s="3559">
        <v>829.83667508947553</v>
      </c>
      <c r="AU59" s="3684">
        <v>806.37395619722065</v>
      </c>
      <c r="AV59" s="3683">
        <v>838.01765619722073</v>
      </c>
      <c r="AW59" s="3685">
        <v>873.25166159500782</v>
      </c>
      <c r="AX59" s="3560">
        <v>597.16543695996825</v>
      </c>
      <c r="AY59" s="3558">
        <v>619.38248241451379</v>
      </c>
      <c r="AZ59" s="3559">
        <v>641.59952786905933</v>
      </c>
      <c r="BA59" s="3561">
        <v>963.71381644672147</v>
      </c>
      <c r="BB59" s="3558">
        <v>1032.8285232649034</v>
      </c>
      <c r="BC59" s="3559">
        <v>1115.1239502287538</v>
      </c>
      <c r="BD59" s="3561">
        <v>552.75372997159047</v>
      </c>
      <c r="BE59" s="3558">
        <v>567.83592997159042</v>
      </c>
      <c r="BF59" s="3559">
        <v>582.91812997159047</v>
      </c>
      <c r="BG59" s="3561">
        <v>859.34209912829635</v>
      </c>
      <c r="BH59" s="3558">
        <v>908.26917912829629</v>
      </c>
      <c r="BI59" s="3559">
        <v>965.81299208298537</v>
      </c>
      <c r="BJ59" s="3565">
        <v>674.95066378877414</v>
      </c>
      <c r="BK59" s="3559">
        <v>690.20576378877411</v>
      </c>
      <c r="BL59" s="3559">
        <v>705.46086378877408</v>
      </c>
      <c r="BM59" s="3559">
        <v>1313.3038687385972</v>
      </c>
      <c r="BN59" s="3559">
        <v>1363.3358545340518</v>
      </c>
      <c r="BO59" s="3559">
        <v>1424.3039025419366</v>
      </c>
      <c r="BP59" s="3562">
        <v>255.49300906745978</v>
      </c>
      <c r="BQ59" s="3562">
        <v>748.87234026206886</v>
      </c>
      <c r="BR59" s="3559">
        <v>512.38262055557652</v>
      </c>
      <c r="BS59" s="3559">
        <v>549.74292655557645</v>
      </c>
      <c r="BT59" s="3559">
        <v>593.13494562385881</v>
      </c>
      <c r="BU59" s="3559">
        <v>1278.8512054166199</v>
      </c>
      <c r="BV59" s="3559">
        <v>1345.7340683198456</v>
      </c>
      <c r="BW59" s="3559">
        <v>1432.6291402592383</v>
      </c>
      <c r="BX59" s="3559">
        <v>1109.0711733236774</v>
      </c>
      <c r="BY59" s="3559">
        <v>1207.6233233236771</v>
      </c>
      <c r="BZ59" s="3559">
        <v>1322.3318476137194</v>
      </c>
      <c r="CA59" s="3559">
        <v>923.2128052531815</v>
      </c>
      <c r="CB59" s="3559">
        <v>984.69651725318136</v>
      </c>
      <c r="CC59" s="3559">
        <v>1058.2436553897462</v>
      </c>
      <c r="CD59" s="3559">
        <v>951.57117332367739</v>
      </c>
      <c r="CE59" s="3559">
        <v>1032.6233233236771</v>
      </c>
      <c r="CF59" s="3559">
        <v>1129.8318476137192</v>
      </c>
      <c r="CG59" s="3559">
        <v>1316.9306386588589</v>
      </c>
      <c r="CH59" s="3559">
        <v>1382.0354386588588</v>
      </c>
      <c r="CI59" s="3559">
        <v>1453.028653285121</v>
      </c>
      <c r="CJ59" s="3559">
        <v>951.57117332367739</v>
      </c>
      <c r="CK59" s="3559">
        <v>1032.6233233236771</v>
      </c>
      <c r="CL59" s="3559">
        <v>1129.8318476137192</v>
      </c>
      <c r="CM59" s="3559">
        <v>744.51727294312821</v>
      </c>
      <c r="CN59" s="3559">
        <v>822.91892294312822</v>
      </c>
      <c r="CO59" s="3559">
        <v>917.47694723317022</v>
      </c>
    </row>
    <row r="60" spans="2:93" ht="15" x14ac:dyDescent="0.2">
      <c r="B60" s="3566" t="s">
        <v>1435</v>
      </c>
      <c r="C60" s="3567"/>
      <c r="D60" s="3568"/>
      <c r="E60" s="3569" t="s">
        <v>1436</v>
      </c>
      <c r="F60" s="3570"/>
      <c r="G60" s="3571"/>
      <c r="H60"/>
      <c r="I60"/>
      <c r="J60"/>
      <c r="K60"/>
      <c r="L60"/>
      <c r="O60" s="3571"/>
      <c r="P60" s="3686"/>
      <c r="Q60" s="3686"/>
      <c r="R60" s="3687"/>
      <c r="S60" t="s">
        <v>1436</v>
      </c>
      <c r="T60"/>
      <c r="U60"/>
      <c r="V60" s="3686"/>
      <c r="W60" s="3686"/>
      <c r="X60" s="3686"/>
      <c r="Y60" s="3571"/>
      <c r="Z60" s="3571"/>
      <c r="AA60" s="3571"/>
      <c r="AB60" s="3686"/>
      <c r="AC60" s="3686"/>
      <c r="AD60"/>
      <c r="AE60" s="3574"/>
      <c r="AF60" s="3573" t="s">
        <v>1436</v>
      </c>
      <c r="AG60" s="3571"/>
      <c r="AH60" s="3571"/>
      <c r="AI60" s="3686"/>
      <c r="AJ60" s="3686"/>
      <c r="AK60" s="3686"/>
      <c r="AL60" s="3571"/>
      <c r="AM60" s="3571"/>
      <c r="AN60" s="3571"/>
      <c r="AO60" s="3686"/>
      <c r="AP60" s="3686"/>
      <c r="AQ60" s="3686"/>
      <c r="AR60" s="3571"/>
      <c r="AS60" s="3571"/>
      <c r="AT60" s="3571"/>
      <c r="AU60" s="3686"/>
      <c r="AV60" s="3686"/>
      <c r="AW60" s="3687"/>
      <c r="AX60" s="3573" t="s">
        <v>1437</v>
      </c>
      <c r="AY60" s="3571"/>
      <c r="AZ60" s="3572"/>
      <c r="BA60" s="3571"/>
      <c r="BB60" s="3571"/>
      <c r="BC60" s="3571"/>
      <c r="BD60" s="3571"/>
      <c r="BE60" s="3571"/>
      <c r="BF60" s="3571"/>
      <c r="BG60" s="3571"/>
      <c r="BH60" s="3571"/>
      <c r="BI60" s="3571"/>
      <c r="BJ60" s="3569"/>
      <c r="BK60" s="3571"/>
      <c r="BL60" s="3571"/>
      <c r="BM60" s="3571"/>
      <c r="BN60" s="3571"/>
      <c r="BO60" s="3572"/>
      <c r="BP60" s="3573" t="s">
        <v>1437</v>
      </c>
      <c r="BQ60" s="3572"/>
      <c r="BR60" s="3572"/>
      <c r="BS60" s="3572"/>
      <c r="BT60" s="3572"/>
      <c r="BU60" s="3572"/>
      <c r="BV60" s="3572"/>
      <c r="BW60" s="3572"/>
      <c r="BX60" s="3572"/>
      <c r="BY60" s="3572"/>
      <c r="BZ60" s="3572"/>
      <c r="CA60" s="3572"/>
      <c r="CB60" s="3572"/>
      <c r="CC60" s="3572"/>
      <c r="CD60" s="3572"/>
      <c r="CE60" s="3572"/>
      <c r="CF60" s="3572"/>
      <c r="CG60" s="3572"/>
      <c r="CH60" s="3572"/>
      <c r="CI60" s="3572"/>
      <c r="CJ60" s="3572"/>
      <c r="CK60" s="3572"/>
      <c r="CL60" s="3572"/>
      <c r="CM60" s="3572"/>
      <c r="CN60" s="3572"/>
      <c r="CO60" s="3572"/>
    </row>
    <row r="61" spans="2:93" ht="15.75" thickBot="1" x14ac:dyDescent="0.25">
      <c r="B61" s="3575"/>
      <c r="C61" s="3576"/>
      <c r="D61" s="3577"/>
      <c r="E61" s="3578" t="s">
        <v>1438</v>
      </c>
      <c r="F61" s="3579"/>
      <c r="G61" s="3579"/>
      <c r="H61"/>
      <c r="I61"/>
      <c r="J61"/>
      <c r="K61"/>
      <c r="L61"/>
      <c r="O61" s="3580"/>
      <c r="P61" s="3688"/>
      <c r="Q61" s="3688"/>
      <c r="R61" s="3689"/>
      <c r="S61" t="s">
        <v>1438</v>
      </c>
      <c r="T61"/>
      <c r="U61"/>
      <c r="V61" s="3688"/>
      <c r="W61" s="3688"/>
      <c r="X61" s="3688"/>
      <c r="Y61" s="3580"/>
      <c r="Z61" s="3580"/>
      <c r="AA61" s="3579"/>
      <c r="AB61"/>
      <c r="AC61"/>
      <c r="AD61"/>
      <c r="AE61" s="3583"/>
      <c r="AF61" s="3582" t="s">
        <v>1439</v>
      </c>
      <c r="AG61" s="3579"/>
      <c r="AH61" s="3579"/>
      <c r="AI61"/>
      <c r="AJ61"/>
      <c r="AK61"/>
      <c r="AL61" s="3579"/>
      <c r="AM61" s="3579"/>
      <c r="AN61" s="3579"/>
      <c r="AO61"/>
      <c r="AP61"/>
      <c r="AQ61"/>
      <c r="AR61" s="3579"/>
      <c r="AS61" s="3579"/>
      <c r="AT61" s="3579"/>
      <c r="AU61"/>
      <c r="AV61"/>
      <c r="AW61"/>
      <c r="AX61" s="3582" t="s">
        <v>1438</v>
      </c>
      <c r="AY61" s="3579"/>
      <c r="AZ61" s="3579"/>
      <c r="BA61" s="3579"/>
      <c r="BB61" s="3579"/>
      <c r="BC61" s="3579"/>
      <c r="BD61" s="3579"/>
      <c r="BE61" s="3579"/>
      <c r="BF61" s="3579"/>
      <c r="BG61" s="3579"/>
      <c r="BH61" s="3579"/>
      <c r="BI61" s="3579"/>
      <c r="BJ61" s="3578"/>
      <c r="BK61" s="3579"/>
      <c r="BL61" s="3579"/>
      <c r="BM61" s="3579"/>
      <c r="BN61" s="3579"/>
      <c r="BO61" s="3583"/>
      <c r="BP61" s="3582" t="s">
        <v>1438</v>
      </c>
      <c r="BQ61" s="3581"/>
      <c r="BR61" s="3581"/>
      <c r="BS61" s="3581"/>
      <c r="BT61" s="3581"/>
      <c r="BU61" s="3581"/>
      <c r="BV61" s="3581"/>
      <c r="BW61" s="3581"/>
      <c r="BX61" s="3581"/>
      <c r="BY61" s="3581"/>
      <c r="BZ61" s="3581"/>
      <c r="CA61" s="3581"/>
      <c r="CB61" s="3581"/>
      <c r="CC61" s="3581"/>
      <c r="CD61" s="3581"/>
      <c r="CE61" s="3581"/>
      <c r="CF61" s="3581"/>
      <c r="CG61" s="3581"/>
      <c r="CH61" s="3581"/>
      <c r="CI61" s="3581"/>
      <c r="CJ61" s="3581"/>
      <c r="CK61" s="3581"/>
      <c r="CL61" s="3581"/>
      <c r="CM61" s="3581"/>
      <c r="CN61" s="3581"/>
      <c r="CO61" s="3581"/>
    </row>
  </sheetData>
  <mergeCells count="10">
    <mergeCell ref="S2:AD2"/>
    <mergeCell ref="AF2:AW2"/>
    <mergeCell ref="AX2:BO2"/>
    <mergeCell ref="BP2:CF2"/>
    <mergeCell ref="E3:G3"/>
    <mergeCell ref="H3:L3"/>
    <mergeCell ref="M3:N3"/>
    <mergeCell ref="P3:R3"/>
    <mergeCell ref="Y3:AA3"/>
    <mergeCell ref="AB3:AD3"/>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00B050"/>
    <pageSetUpPr fitToPage="1"/>
  </sheetPr>
  <dimension ref="B2:M51"/>
  <sheetViews>
    <sheetView showGridLines="0" workbookViewId="0">
      <selection activeCell="E51" sqref="E51:F51"/>
    </sheetView>
  </sheetViews>
  <sheetFormatPr baseColWidth="10" defaultRowHeight="12.75" x14ac:dyDescent="0.2"/>
  <cols>
    <col min="1" max="1" width="2.5703125" customWidth="1"/>
    <col min="2" max="2" width="2" customWidth="1"/>
    <col min="3" max="3" width="8.42578125" customWidth="1"/>
    <col min="4" max="4" width="12.28515625" customWidth="1"/>
    <col min="7" max="7" width="7" customWidth="1"/>
    <col min="8" max="8" width="27" customWidth="1"/>
    <col min="9" max="9" width="7.5703125" customWidth="1"/>
    <col min="10" max="10" width="21.7109375" customWidth="1"/>
    <col min="11" max="11" width="2.5703125" customWidth="1"/>
    <col min="12" max="12" width="6.7109375" customWidth="1"/>
    <col min="13" max="13" width="0.85546875" customWidth="1"/>
  </cols>
  <sheetData>
    <row r="2" spans="2:13" s="14" customFormat="1" ht="34.5" customHeight="1" x14ac:dyDescent="0.2">
      <c r="B2" s="41" t="str">
        <f>Deckbl!C4</f>
        <v>Kalkulationsdaten Milchviehhaltung</v>
      </c>
      <c r="C2" s="42"/>
      <c r="D2" s="35"/>
      <c r="E2" s="35"/>
      <c r="F2" s="35"/>
      <c r="G2" s="35"/>
      <c r="H2" s="35"/>
      <c r="I2" s="35"/>
      <c r="J2" s="35"/>
      <c r="K2" s="35"/>
      <c r="L2" s="42"/>
      <c r="M2" s="35"/>
    </row>
    <row r="3" spans="2:13" s="14" customFormat="1" ht="22.7" customHeight="1" x14ac:dyDescent="0.4">
      <c r="B3" s="43"/>
      <c r="C3" s="3925" t="str">
        <f>Deckbl!C5</f>
        <v xml:space="preserve">und Färsenaufzucht </v>
      </c>
      <c r="D3" s="3925"/>
      <c r="E3" s="3925"/>
      <c r="F3" s="3925"/>
      <c r="G3" s="3925"/>
      <c r="H3" s="3925"/>
      <c r="I3" s="3925"/>
      <c r="J3" s="3925"/>
      <c r="K3" s="3925"/>
      <c r="L3" s="3925"/>
      <c r="M3" s="35"/>
    </row>
    <row r="4" spans="2:13" s="14" customFormat="1" ht="32.25" customHeight="1" x14ac:dyDescent="0.2">
      <c r="B4" s="66"/>
      <c r="C4" s="42"/>
      <c r="D4" s="35"/>
      <c r="E4" s="35"/>
      <c r="F4" s="35"/>
      <c r="G4" s="35"/>
      <c r="H4" s="35"/>
      <c r="I4" s="35"/>
      <c r="J4" s="35"/>
      <c r="K4" s="35"/>
      <c r="L4" s="35"/>
      <c r="M4" s="35"/>
    </row>
    <row r="5" spans="2:13" s="14" customFormat="1" ht="45.75" customHeight="1" x14ac:dyDescent="0.2">
      <c r="B5" s="41">
        <f>Deckbl!C6</f>
        <v>2021</v>
      </c>
      <c r="C5" s="42"/>
      <c r="D5" s="35"/>
      <c r="E5" s="35"/>
      <c r="F5" s="35"/>
      <c r="G5" s="35"/>
      <c r="H5" s="35"/>
      <c r="I5" s="35"/>
      <c r="J5" s="35"/>
      <c r="K5" s="35"/>
      <c r="L5" s="35"/>
      <c r="M5" s="35"/>
    </row>
    <row r="6" spans="2:13" s="14" customFormat="1" ht="47.25" customHeight="1" x14ac:dyDescent="0.2">
      <c r="B6" s="15"/>
      <c r="C6" s="38" t="s">
        <v>879</v>
      </c>
      <c r="D6" s="65">
        <f>Deckbl!E22</f>
        <v>44531</v>
      </c>
      <c r="E6" s="15"/>
      <c r="F6" s="15"/>
      <c r="G6" s="15"/>
      <c r="H6" s="15"/>
      <c r="I6" s="15"/>
      <c r="J6" s="15"/>
      <c r="K6" s="15"/>
      <c r="L6" s="15"/>
      <c r="M6" s="15"/>
    </row>
    <row r="7" spans="2:13" s="14" customFormat="1" ht="45.75" customHeight="1" x14ac:dyDescent="0.2">
      <c r="B7" s="39" t="s">
        <v>880</v>
      </c>
      <c r="C7" s="35"/>
      <c r="D7" s="35"/>
      <c r="E7" s="35"/>
      <c r="F7" s="35"/>
      <c r="G7" s="35"/>
      <c r="H7" s="35"/>
      <c r="I7" s="35"/>
      <c r="J7" s="35"/>
      <c r="K7" s="35"/>
      <c r="L7" s="35"/>
      <c r="M7" s="35"/>
    </row>
    <row r="8" spans="2:13" s="14" customFormat="1" ht="15" customHeight="1" x14ac:dyDescent="0.2">
      <c r="B8" s="15"/>
      <c r="C8" s="15"/>
      <c r="D8" s="15"/>
      <c r="E8" s="15"/>
      <c r="F8" s="15"/>
      <c r="G8" s="15"/>
      <c r="H8" s="15"/>
      <c r="I8" s="15"/>
      <c r="J8" s="15"/>
      <c r="K8" s="15"/>
      <c r="L8" s="15"/>
      <c r="M8" s="15"/>
    </row>
    <row r="9" spans="2:13" s="14" customFormat="1" ht="19.5" customHeight="1" x14ac:dyDescent="0.2">
      <c r="B9" s="15"/>
      <c r="C9" s="15"/>
      <c r="D9" s="15"/>
      <c r="E9" s="15"/>
      <c r="F9" s="15"/>
      <c r="G9" s="15"/>
      <c r="H9" s="15"/>
      <c r="I9" s="15"/>
      <c r="J9" s="1197" t="s">
        <v>881</v>
      </c>
      <c r="K9"/>
      <c r="L9" s="40" t="s">
        <v>882</v>
      </c>
      <c r="M9" s="15"/>
    </row>
    <row r="10" spans="2:13" s="14" customFormat="1" ht="18.75" customHeight="1" x14ac:dyDescent="0.2">
      <c r="B10" s="15"/>
      <c r="C10" s="15"/>
      <c r="D10" s="15"/>
      <c r="E10" s="15"/>
      <c r="F10" s="15"/>
      <c r="G10" s="15"/>
      <c r="H10" s="15"/>
      <c r="I10" s="15"/>
      <c r="J10" s="36"/>
      <c r="K10"/>
      <c r="L10" s="40"/>
      <c r="M10" s="15"/>
    </row>
    <row r="11" spans="2:13" s="4" customFormat="1" ht="21.6" customHeight="1" x14ac:dyDescent="0.2">
      <c r="B11" s="3"/>
      <c r="C11" s="1040" t="s">
        <v>883</v>
      </c>
      <c r="D11" s="3"/>
      <c r="E11" s="3"/>
      <c r="F11" s="3"/>
      <c r="G11" s="3"/>
      <c r="H11" s="3"/>
      <c r="I11" s="3"/>
      <c r="J11" s="1195" t="s">
        <v>660</v>
      </c>
      <c r="L11" s="467" t="s">
        <v>666</v>
      </c>
      <c r="M11" s="3"/>
    </row>
    <row r="12" spans="2:13" s="4" customFormat="1" ht="15" customHeight="1" x14ac:dyDescent="0.2">
      <c r="B12" s="3"/>
      <c r="C12" s="463"/>
      <c r="D12" s="3"/>
      <c r="E12" s="3"/>
      <c r="F12" s="3"/>
      <c r="G12" s="3"/>
      <c r="H12" s="3"/>
      <c r="I12" s="3"/>
      <c r="J12" s="1192"/>
      <c r="L12" s="467"/>
      <c r="M12" s="3"/>
    </row>
    <row r="13" spans="2:13" s="4" customFormat="1" ht="6.6" customHeight="1" x14ac:dyDescent="0.2">
      <c r="B13" s="3"/>
      <c r="C13" s="463"/>
      <c r="D13" s="3"/>
      <c r="E13" s="3"/>
      <c r="F13" s="3"/>
      <c r="G13" s="3"/>
      <c r="H13" s="3"/>
      <c r="I13" s="3"/>
      <c r="J13" s="1192"/>
      <c r="L13" s="467"/>
      <c r="M13" s="3"/>
    </row>
    <row r="14" spans="2:13" s="4" customFormat="1" ht="22.9" customHeight="1" x14ac:dyDescent="0.2">
      <c r="B14" s="3"/>
      <c r="C14" s="1040" t="s">
        <v>893</v>
      </c>
      <c r="D14" s="3"/>
      <c r="E14" s="3"/>
      <c r="F14" s="3"/>
      <c r="G14" s="3"/>
      <c r="H14" s="3"/>
      <c r="I14" s="3"/>
      <c r="J14" s="1195" t="s">
        <v>901</v>
      </c>
      <c r="L14" s="621" t="s">
        <v>680</v>
      </c>
      <c r="M14" s="3"/>
    </row>
    <row r="15" spans="2:13" s="4" customFormat="1" ht="21.2" customHeight="1" x14ac:dyDescent="0.2">
      <c r="B15" s="3"/>
      <c r="C15" s="465"/>
      <c r="F15" s="3"/>
      <c r="G15" s="3"/>
      <c r="H15" s="3"/>
      <c r="I15" s="3"/>
      <c r="J15" s="1195" t="s">
        <v>902</v>
      </c>
      <c r="L15" s="467" t="s">
        <v>908</v>
      </c>
      <c r="M15" s="3"/>
    </row>
    <row r="16" spans="2:13" s="4" customFormat="1" ht="21.2" customHeight="1" x14ac:dyDescent="0.2">
      <c r="B16" s="3"/>
      <c r="C16" s="463"/>
      <c r="D16" s="3"/>
      <c r="E16" s="3"/>
      <c r="F16" s="3"/>
      <c r="G16" s="3"/>
      <c r="H16" s="3"/>
      <c r="I16" s="3"/>
      <c r="J16" s="1195" t="s">
        <v>903</v>
      </c>
      <c r="L16" s="467" t="s">
        <v>911</v>
      </c>
      <c r="M16" s="3"/>
    </row>
    <row r="17" spans="2:13" s="4" customFormat="1" ht="12.2" customHeight="1" x14ac:dyDescent="0.2">
      <c r="B17" s="3"/>
      <c r="C17" s="3"/>
      <c r="D17" s="3"/>
      <c r="E17" s="3"/>
      <c r="F17" s="3"/>
      <c r="G17" s="3"/>
      <c r="H17" s="3"/>
      <c r="I17" s="3"/>
      <c r="J17" s="1192"/>
      <c r="L17" s="622"/>
      <c r="M17" s="3"/>
    </row>
    <row r="18" spans="2:13" s="4" customFormat="1" ht="21.6" customHeight="1" x14ac:dyDescent="0.2">
      <c r="B18" s="3"/>
      <c r="C18" s="1040" t="s">
        <v>904</v>
      </c>
      <c r="D18" s="3"/>
      <c r="E18" s="3"/>
      <c r="F18" s="3"/>
      <c r="G18" s="3"/>
      <c r="H18" s="3"/>
      <c r="I18" s="3"/>
      <c r="J18" s="1195" t="s">
        <v>907</v>
      </c>
      <c r="K18" s="466"/>
      <c r="L18" s="624" t="s">
        <v>918</v>
      </c>
      <c r="M18" s="3"/>
    </row>
    <row r="19" spans="2:13" s="4" customFormat="1" ht="21.2" customHeight="1" x14ac:dyDescent="0.2">
      <c r="B19" s="3"/>
      <c r="C19" s="463"/>
      <c r="D19" s="3"/>
      <c r="E19" s="3"/>
      <c r="F19" s="3"/>
      <c r="G19" s="3"/>
      <c r="H19" s="3"/>
      <c r="I19" s="3"/>
      <c r="J19" s="1195" t="s">
        <v>909</v>
      </c>
      <c r="K19" s="466"/>
      <c r="L19" s="624" t="s">
        <v>921</v>
      </c>
      <c r="M19" s="3"/>
    </row>
    <row r="20" spans="2:13" s="4" customFormat="1" ht="22.7" customHeight="1" x14ac:dyDescent="0.2">
      <c r="B20" s="3"/>
      <c r="C20" s="463"/>
      <c r="D20" s="3"/>
      <c r="E20" s="3"/>
      <c r="F20" s="3"/>
      <c r="G20" s="3"/>
      <c r="H20" s="3"/>
      <c r="I20" s="3"/>
      <c r="J20" s="1677" t="s">
        <v>665</v>
      </c>
      <c r="K20" s="466"/>
      <c r="L20" s="624" t="s">
        <v>667</v>
      </c>
      <c r="M20" s="3"/>
    </row>
    <row r="21" spans="2:13" s="4" customFormat="1" ht="21.2" customHeight="1" x14ac:dyDescent="0.2">
      <c r="B21" s="3"/>
      <c r="E21" s="3"/>
      <c r="F21" s="3"/>
      <c r="G21" s="3"/>
      <c r="H21" s="3"/>
      <c r="I21" s="3"/>
      <c r="J21" s="1195" t="s">
        <v>677</v>
      </c>
      <c r="K21" s="464"/>
      <c r="L21" s="467" t="s">
        <v>681</v>
      </c>
      <c r="M21" s="3"/>
    </row>
    <row r="22" spans="2:13" s="4" customFormat="1" ht="15" customHeight="1" x14ac:dyDescent="0.2">
      <c r="B22" s="3"/>
      <c r="C22" s="1040" t="s">
        <v>912</v>
      </c>
      <c r="E22" s="3"/>
      <c r="F22" s="3"/>
      <c r="G22" s="3"/>
      <c r="H22" s="3"/>
      <c r="I22" s="3"/>
      <c r="J22" s="1192"/>
      <c r="K22" s="464"/>
      <c r="L22" s="467"/>
      <c r="M22" s="3"/>
    </row>
    <row r="23" spans="2:13" s="4" customFormat="1" ht="15" customHeight="1" x14ac:dyDescent="0.2">
      <c r="B23" s="3"/>
      <c r="C23" s="463"/>
      <c r="E23" s="3"/>
      <c r="F23" s="3"/>
      <c r="G23" s="3"/>
      <c r="H23" s="3"/>
      <c r="I23" s="3"/>
      <c r="J23" s="1192"/>
      <c r="K23" s="464"/>
      <c r="L23" s="467"/>
      <c r="M23" s="3"/>
    </row>
    <row r="24" spans="2:13" s="4" customFormat="1" ht="15" customHeight="1" x14ac:dyDescent="0.2">
      <c r="B24" s="3"/>
      <c r="C24" s="3" t="s">
        <v>913</v>
      </c>
      <c r="E24" s="3"/>
      <c r="F24" s="3"/>
      <c r="G24" s="3"/>
      <c r="H24" s="3"/>
      <c r="I24" s="3"/>
      <c r="J24" s="1192"/>
      <c r="K24" s="464"/>
      <c r="L24" s="467"/>
      <c r="M24" s="3"/>
    </row>
    <row r="25" spans="2:13" s="4" customFormat="1" ht="15" customHeight="1" x14ac:dyDescent="0.2">
      <c r="B25" s="3"/>
      <c r="C25" s="4" t="s">
        <v>914</v>
      </c>
      <c r="E25" s="3"/>
      <c r="F25" s="3"/>
      <c r="G25" s="3"/>
      <c r="H25" s="3"/>
      <c r="I25" s="3"/>
      <c r="J25" s="1192"/>
      <c r="K25" s="464"/>
      <c r="L25" s="467"/>
      <c r="M25" s="3"/>
    </row>
    <row r="26" spans="2:13" s="4" customFormat="1" ht="15" customHeight="1" x14ac:dyDescent="0.2">
      <c r="B26" s="3"/>
      <c r="J26" s="1193"/>
      <c r="K26" s="464"/>
      <c r="L26" s="467"/>
      <c r="M26" s="3"/>
    </row>
    <row r="27" spans="2:13" s="4" customFormat="1" ht="15" customHeight="1" x14ac:dyDescent="0.2">
      <c r="B27" s="3"/>
      <c r="C27" s="2000" t="s">
        <v>948</v>
      </c>
      <c r="J27" s="1193"/>
      <c r="K27" s="464"/>
      <c r="L27" s="467"/>
      <c r="M27" s="3"/>
    </row>
    <row r="28" spans="2:13" x14ac:dyDescent="0.2">
      <c r="E28" s="3"/>
      <c r="F28" s="3"/>
      <c r="G28" s="3"/>
      <c r="H28" s="3"/>
      <c r="I28" s="3"/>
      <c r="J28" s="1192"/>
      <c r="L28" s="623"/>
    </row>
    <row r="29" spans="2:13" s="4" customFormat="1" ht="21.2" customHeight="1" x14ac:dyDescent="0.2">
      <c r="B29" s="3"/>
      <c r="C29" s="2001" t="s">
        <v>963</v>
      </c>
      <c r="E29" s="3" t="s">
        <v>916</v>
      </c>
      <c r="H29" s="3"/>
      <c r="I29" s="3"/>
      <c r="J29" s="1195" t="s">
        <v>917</v>
      </c>
      <c r="L29" s="467" t="s">
        <v>668</v>
      </c>
      <c r="M29" s="3"/>
    </row>
    <row r="30" spans="2:13" s="4" customFormat="1" ht="21.2" customHeight="1" x14ac:dyDescent="0.2">
      <c r="B30" s="3"/>
      <c r="C30" s="3"/>
      <c r="E30" s="3" t="s">
        <v>919</v>
      </c>
      <c r="H30" s="3"/>
      <c r="I30" s="3"/>
      <c r="J30" s="1195" t="s">
        <v>920</v>
      </c>
      <c r="L30" s="467" t="s">
        <v>669</v>
      </c>
      <c r="M30" s="3"/>
    </row>
    <row r="31" spans="2:13" s="4" customFormat="1" ht="21.2" customHeight="1" x14ac:dyDescent="0.2">
      <c r="B31" s="3"/>
      <c r="C31"/>
      <c r="E31" s="4" t="s">
        <v>922</v>
      </c>
      <c r="F31"/>
      <c r="G31"/>
      <c r="H31"/>
      <c r="I31"/>
      <c r="J31" s="1195" t="s">
        <v>923</v>
      </c>
      <c r="K31" s="464"/>
      <c r="L31" s="467" t="s">
        <v>670</v>
      </c>
      <c r="M31" s="3"/>
    </row>
    <row r="32" spans="2:13" s="4" customFormat="1" ht="15" customHeight="1" x14ac:dyDescent="0.2">
      <c r="B32" s="3"/>
      <c r="C32"/>
      <c r="E32"/>
      <c r="F32"/>
      <c r="G32"/>
      <c r="H32"/>
      <c r="I32"/>
      <c r="J32" s="589"/>
      <c r="K32" s="464"/>
      <c r="L32" s="467"/>
      <c r="M32" s="3"/>
    </row>
    <row r="33" spans="2:13" s="4" customFormat="1" ht="21.2" customHeight="1" x14ac:dyDescent="0.2">
      <c r="B33" s="3"/>
      <c r="C33" s="2001" t="s">
        <v>964</v>
      </c>
      <c r="E33" s="3" t="s">
        <v>916</v>
      </c>
      <c r="H33" s="3"/>
      <c r="I33" s="3"/>
      <c r="J33" s="1195" t="s">
        <v>924</v>
      </c>
      <c r="L33" s="467" t="s">
        <v>671</v>
      </c>
      <c r="M33" s="3"/>
    </row>
    <row r="34" spans="2:13" s="4" customFormat="1" ht="21.2" customHeight="1" x14ac:dyDescent="0.2">
      <c r="B34" s="3"/>
      <c r="C34"/>
      <c r="E34" s="3" t="s">
        <v>919</v>
      </c>
      <c r="H34" s="3"/>
      <c r="I34" s="3"/>
      <c r="J34" s="1195" t="s">
        <v>925</v>
      </c>
      <c r="L34" s="467" t="s">
        <v>672</v>
      </c>
      <c r="M34" s="3"/>
    </row>
    <row r="35" spans="2:13" s="4" customFormat="1" ht="21.2" customHeight="1" x14ac:dyDescent="0.2">
      <c r="B35" s="3"/>
      <c r="C35" s="3"/>
      <c r="E35" s="4" t="s">
        <v>922</v>
      </c>
      <c r="H35" s="3"/>
      <c r="I35" s="3"/>
      <c r="J35" s="1195" t="s">
        <v>926</v>
      </c>
      <c r="K35" s="463"/>
      <c r="L35" s="467" t="s">
        <v>673</v>
      </c>
      <c r="M35" s="3"/>
    </row>
    <row r="36" spans="2:13" s="4" customFormat="1" ht="16.5" customHeight="1" x14ac:dyDescent="0.2">
      <c r="B36" s="3"/>
      <c r="C36" s="3"/>
      <c r="E36" s="3"/>
      <c r="H36" s="3"/>
      <c r="I36" s="3"/>
      <c r="J36" s="1192"/>
      <c r="K36" s="463"/>
      <c r="L36" s="467"/>
      <c r="M36" s="3"/>
    </row>
    <row r="37" spans="2:13" s="4" customFormat="1" ht="21.2" customHeight="1" x14ac:dyDescent="0.2">
      <c r="B37" s="3"/>
      <c r="C37" s="2001" t="s">
        <v>965</v>
      </c>
      <c r="E37" s="3" t="s">
        <v>916</v>
      </c>
      <c r="H37" s="3"/>
      <c r="I37" s="3"/>
      <c r="J37" s="1195" t="s">
        <v>928</v>
      </c>
      <c r="L37" s="467" t="s">
        <v>674</v>
      </c>
      <c r="M37" s="3"/>
    </row>
    <row r="38" spans="2:13" s="4" customFormat="1" ht="21.2" customHeight="1" x14ac:dyDescent="0.2">
      <c r="B38" s="3"/>
      <c r="C38" s="3"/>
      <c r="D38"/>
      <c r="E38" s="3" t="s">
        <v>919</v>
      </c>
      <c r="H38" s="3"/>
      <c r="I38" s="3"/>
      <c r="J38" s="1195" t="s">
        <v>929</v>
      </c>
      <c r="L38" s="467" t="s">
        <v>675</v>
      </c>
      <c r="M38" s="3"/>
    </row>
    <row r="39" spans="2:13" s="4" customFormat="1" ht="21.2" customHeight="1" x14ac:dyDescent="0.2">
      <c r="B39" s="3"/>
      <c r="C39" s="3"/>
      <c r="D39" s="3"/>
      <c r="E39" s="4" t="s">
        <v>922</v>
      </c>
      <c r="F39" s="3"/>
      <c r="G39" s="3"/>
      <c r="H39" s="3"/>
      <c r="I39" s="3"/>
      <c r="J39" s="1195" t="s">
        <v>930</v>
      </c>
      <c r="L39" s="467" t="s">
        <v>676</v>
      </c>
      <c r="M39" s="3"/>
    </row>
    <row r="40" spans="2:13" s="4" customFormat="1" ht="21.2" customHeight="1" x14ac:dyDescent="0.2">
      <c r="B40" s="3"/>
      <c r="C40" s="3"/>
      <c r="D40" s="3"/>
      <c r="F40" s="3"/>
      <c r="G40" s="3"/>
      <c r="H40" s="3"/>
      <c r="I40" s="3"/>
      <c r="J40" s="1192"/>
      <c r="L40" s="467"/>
      <c r="M40" s="3"/>
    </row>
    <row r="41" spans="2:13" s="14" customFormat="1" ht="15" customHeight="1" x14ac:dyDescent="0.2">
      <c r="B41" s="15"/>
      <c r="C41" s="732"/>
      <c r="D41" s="733"/>
      <c r="E41" s="733"/>
      <c r="F41" s="733"/>
      <c r="G41" s="733"/>
      <c r="H41" s="733"/>
      <c r="I41" s="733"/>
      <c r="J41" s="1194"/>
      <c r="K41" s="734"/>
      <c r="L41" s="735"/>
      <c r="M41" s="15"/>
    </row>
    <row r="42" spans="2:13" ht="21.2" customHeight="1" x14ac:dyDescent="0.2">
      <c r="B42" s="28"/>
      <c r="C42" s="1999" t="s">
        <v>236</v>
      </c>
      <c r="D42" s="3"/>
      <c r="E42" s="3" t="s">
        <v>916</v>
      </c>
      <c r="F42" s="4"/>
      <c r="G42" s="4"/>
      <c r="H42" s="4"/>
      <c r="I42" s="4"/>
      <c r="J42" s="1195" t="s">
        <v>663</v>
      </c>
      <c r="K42" s="28"/>
      <c r="L42" s="28" t="s">
        <v>1038</v>
      </c>
      <c r="M42" s="28"/>
    </row>
    <row r="43" spans="2:13" ht="13.9" customHeight="1" x14ac:dyDescent="0.2">
      <c r="D43" s="3"/>
      <c r="E43" s="1344" t="s">
        <v>278</v>
      </c>
      <c r="F43" s="4"/>
      <c r="G43" s="4"/>
      <c r="H43" s="3"/>
      <c r="I43" s="3"/>
      <c r="J43" s="1192"/>
      <c r="L43" s="1287"/>
    </row>
    <row r="44" spans="2:13" ht="13.9" customHeight="1" x14ac:dyDescent="0.2">
      <c r="D44" s="3"/>
      <c r="E44" s="1288" t="s">
        <v>723</v>
      </c>
      <c r="F44" s="4"/>
      <c r="G44" s="4"/>
      <c r="H44" s="3"/>
      <c r="I44" s="3"/>
      <c r="J44" s="1192"/>
      <c r="L44" s="1287"/>
    </row>
    <row r="45" spans="2:13" ht="9.75" customHeight="1" x14ac:dyDescent="0.2">
      <c r="D45" s="3"/>
      <c r="E45" s="1288"/>
      <c r="F45" s="4"/>
      <c r="G45" s="4"/>
      <c r="H45" s="3"/>
      <c r="I45" s="3"/>
      <c r="J45" s="1192"/>
      <c r="L45" s="1287"/>
    </row>
    <row r="46" spans="2:13" ht="21.2" customHeight="1" x14ac:dyDescent="0.2">
      <c r="D46" s="15"/>
      <c r="E46" s="3" t="s">
        <v>919</v>
      </c>
      <c r="F46" s="4"/>
      <c r="G46" s="4"/>
      <c r="H46" s="3"/>
      <c r="I46" s="3"/>
      <c r="J46" s="1195" t="s">
        <v>662</v>
      </c>
      <c r="L46">
        <v>39</v>
      </c>
    </row>
    <row r="47" spans="2:13" ht="6" customHeight="1" x14ac:dyDescent="0.2">
      <c r="D47" s="15"/>
      <c r="E47" s="3"/>
      <c r="F47" s="4"/>
      <c r="G47" s="4"/>
      <c r="H47" s="3"/>
      <c r="I47" s="3"/>
      <c r="J47" s="1192"/>
    </row>
    <row r="48" spans="2:13" ht="21.2" customHeight="1" x14ac:dyDescent="0.2">
      <c r="E48" s="4" t="s">
        <v>426</v>
      </c>
      <c r="J48" s="1195" t="s">
        <v>661</v>
      </c>
      <c r="L48" s="467" t="s">
        <v>704</v>
      </c>
    </row>
    <row r="49" spans="3:10" x14ac:dyDescent="0.2">
      <c r="J49" s="589"/>
    </row>
    <row r="50" spans="3:10" x14ac:dyDescent="0.2">
      <c r="C50" s="725"/>
      <c r="D50" s="725"/>
      <c r="E50" s="725"/>
    </row>
    <row r="51" spans="3:10" ht="33" customHeight="1" x14ac:dyDescent="0.2">
      <c r="C51" s="1040" t="s">
        <v>422</v>
      </c>
      <c r="D51" s="300"/>
      <c r="E51" s="3926" t="s">
        <v>767</v>
      </c>
      <c r="F51" s="3927"/>
      <c r="G51" s="438"/>
      <c r="H51" s="1195" t="s">
        <v>1297</v>
      </c>
      <c r="I51" s="1678"/>
      <c r="J51" s="1679" t="s">
        <v>1507</v>
      </c>
    </row>
  </sheetData>
  <sheetProtection sheet="1" objects="1" scenarios="1"/>
  <mergeCells count="2">
    <mergeCell ref="C3:L3"/>
    <mergeCell ref="E51:F51"/>
  </mergeCells>
  <phoneticPr fontId="0" type="noConversion"/>
  <hyperlinks>
    <hyperlink ref="J11" location="Hinweise!A1" display="&lt;Hinweise&gt;"/>
    <hyperlink ref="J14" location="Stammdaten!A1" display="&lt;Stammdaten&gt;"/>
    <hyperlink ref="J15" location="Preise!A1" display="&lt;Preise&gt;"/>
    <hyperlink ref="J16" location="Ausgleichsleistungen!A1" display="&lt;Ausgleichsleistungen&gt;"/>
    <hyperlink ref="J18" location="'DB-Übersicht'!A1" display="&lt;DB-Übersicht&gt;"/>
    <hyperlink ref="J19" location="'Grafik-DB'!A1" display="&lt;Grafik-DB&gt;"/>
    <hyperlink ref="J20" location="'Grafik-Kost.deck.Erlös'!A1" display="&lt;Grafik-Kost.deck.Erlös&gt;"/>
    <hyperlink ref="J21" location="'Grafik-DB-Färse'!A1" display="&lt;Grafik-DB-Färse&gt;"/>
    <hyperlink ref="J29" location="'FlV(a)'!A1" display="&lt;FlV(a)&gt;"/>
    <hyperlink ref="J30" location="'FlV(b)'!A1" display="&lt;FlV(b)&gt;"/>
    <hyperlink ref="J31" location="'FlV(Fol)'!A1" display="&lt;FlV(Fol)&gt;"/>
    <hyperlink ref="J33" location="'Sbt(a)'!A1" display="&lt;Sbt(a)&gt;"/>
    <hyperlink ref="J34" location="'Sbt(b)'!A1" display="&lt;Sbt(b)&gt;"/>
    <hyperlink ref="J35" location="'Sbt(Fol)'!A1" display="&lt;Sbt(Fol)&gt;"/>
    <hyperlink ref="J37" location="'BrV(a)'!A1" display="&lt;BrV(a)&gt;"/>
    <hyperlink ref="J38" location="'BrV(b)'!A1" display="&lt;BrV(b)&gt;"/>
    <hyperlink ref="J39" location="'BrV(Fol)'!A1" display="&lt;BrV(Fol)&gt;"/>
    <hyperlink ref="J42" location="'Färse(a)'!A1" display="&lt;Färse(a)&gt;"/>
    <hyperlink ref="J46" location="'Färse(b)'!A1" display="&lt;Färse(b)&gt;"/>
    <hyperlink ref="J48" location="'Färse(Fol)'!A1" display="&lt;Färse(Fol)&gt;"/>
    <hyperlink ref="E51" location="Strukturentwicklung!A1" display="Strukturentwicklung S.45 - 47"/>
    <hyperlink ref="H51" location="Preisstatistik!A1" display="Preisstatistik S.48 - 49"/>
    <hyperlink ref="J51" location="Kalkulationshilfen!A1" display="Kalkulationshilfen S. 50 - 53"/>
  </hyperlinks>
  <printOptions horizontalCentered="1"/>
  <pageMargins left="0.59055118110236227" right="0.59055118110236227" top="0.78740157480314965" bottom="0.94488188976377963" header="0.19685039370078741" footer="0.39370078740157483"/>
  <pageSetup paperSize="9" scale="74" orientation="portrait" useFirstPageNumber="1" r:id="rId1"/>
  <headerFooter alignWithMargins="0">
    <oddFooter>&amp;LLEL Schwäbisch Gmünd
&amp;D&amp;C&amp;"Arial,Fett"&amp;12 1&amp;RKalkulationsdaten Milchviehhaltung;  &amp;F  &amp;A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T62"/>
  <sheetViews>
    <sheetView workbookViewId="0">
      <pane xSplit="1" ySplit="4" topLeftCell="B5" activePane="bottomRight" state="frozen"/>
      <selection activeCell="E24" sqref="E24"/>
      <selection pane="topRight" activeCell="E24" sqref="E24"/>
      <selection pane="bottomLeft" activeCell="E24" sqref="E24"/>
      <selection pane="bottomRight" activeCell="E24" sqref="E24"/>
    </sheetView>
  </sheetViews>
  <sheetFormatPr baseColWidth="10" defaultRowHeight="12.75" x14ac:dyDescent="0.2"/>
  <cols>
    <col min="1" max="1" width="3.28515625" customWidth="1"/>
    <col min="3" max="3" width="29.5703125" customWidth="1"/>
    <col min="5" max="5" width="6" style="3589" customWidth="1"/>
    <col min="6" max="6" width="6.42578125" style="3589" customWidth="1"/>
    <col min="7" max="8" width="7.140625" style="3589" customWidth="1"/>
    <col min="9" max="9" width="5.28515625" style="3690" customWidth="1"/>
    <col min="10" max="10" width="6.5703125" style="3690" customWidth="1"/>
    <col min="11" max="11" width="5.85546875" style="3690" customWidth="1"/>
    <col min="12" max="12" width="6.28515625" style="3690" customWidth="1"/>
    <col min="13" max="13" width="7" style="3690" customWidth="1"/>
    <col min="14" max="14" width="7.42578125" style="3690" customWidth="1"/>
    <col min="15" max="15" width="6.42578125" customWidth="1"/>
    <col min="16" max="16" width="6.28515625" customWidth="1"/>
    <col min="17" max="17" width="8.140625" customWidth="1"/>
    <col min="18" max="18" width="7.85546875" customWidth="1"/>
    <col min="19" max="19" width="6.7109375" style="3589" customWidth="1"/>
    <col min="20" max="20" width="6" style="3589" customWidth="1"/>
    <col min="21" max="21" width="7.5703125" style="3589" customWidth="1"/>
    <col min="22" max="22" width="7.7109375" style="3589" customWidth="1"/>
    <col min="23" max="23" width="5.42578125" style="3690" customWidth="1"/>
    <col min="24" max="24" width="6.85546875" style="3690" customWidth="1"/>
    <col min="25" max="25" width="7.140625" style="3690" customWidth="1"/>
    <col min="26" max="26" width="7.7109375" style="3690" customWidth="1"/>
    <col min="27" max="27" width="5.42578125" style="3589" customWidth="1"/>
    <col min="28" max="28" width="6.140625" style="3589" customWidth="1"/>
    <col min="29" max="29" width="5.28515625" style="3589" customWidth="1"/>
    <col min="30" max="30" width="9.85546875" style="3589" customWidth="1"/>
    <col min="31" max="31" width="6.42578125" customWidth="1"/>
    <col min="32" max="32" width="6.85546875" customWidth="1"/>
    <col min="33" max="33" width="7.28515625" customWidth="1"/>
    <col min="34" max="34" width="7.42578125" customWidth="1"/>
    <col min="35" max="36" width="6.42578125" style="3589" customWidth="1"/>
    <col min="37" max="37" width="6.140625" style="3589" customWidth="1"/>
    <col min="38" max="38" width="7.42578125" style="3589" customWidth="1"/>
    <col min="39" max="39" width="7.7109375" customWidth="1"/>
    <col min="40" max="40" width="7" customWidth="1"/>
    <col min="41" max="41" width="6.140625" customWidth="1"/>
    <col min="42" max="42" width="7.42578125" customWidth="1"/>
    <col min="43" max="43" width="6.140625" style="3589" customWidth="1"/>
    <col min="44" max="44" width="7.140625" style="3589" customWidth="1"/>
    <col min="45" max="45" width="6.85546875" style="3589" customWidth="1"/>
    <col min="46" max="46" width="8.42578125" style="3589" customWidth="1"/>
    <col min="47" max="49" width="4.5703125" customWidth="1"/>
    <col min="50" max="53" width="4.5703125" style="3589" customWidth="1"/>
    <col min="54" max="56" width="4.5703125" customWidth="1"/>
    <col min="57" max="60" width="4.5703125" style="3589" customWidth="1"/>
    <col min="61" max="104" width="4.5703125" customWidth="1"/>
    <col min="105" max="105" width="5.28515625" customWidth="1"/>
  </cols>
  <sheetData>
    <row r="2" spans="2:104" s="1515" customFormat="1" x14ac:dyDescent="0.2">
      <c r="B2" s="1515" t="s">
        <v>1332</v>
      </c>
      <c r="D2" s="1515">
        <v>2016</v>
      </c>
      <c r="E2"/>
      <c r="F2"/>
      <c r="G2" t="s">
        <v>1333</v>
      </c>
      <c r="H2"/>
      <c r="I2"/>
      <c r="J2"/>
      <c r="K2"/>
      <c r="L2"/>
      <c r="M2"/>
      <c r="N2"/>
      <c r="O2"/>
      <c r="P2"/>
      <c r="Q2"/>
      <c r="S2"/>
      <c r="T2"/>
      <c r="U2"/>
      <c r="V2"/>
      <c r="W2" t="s">
        <v>1334</v>
      </c>
      <c r="X2"/>
      <c r="Y2"/>
      <c r="Z2"/>
      <c r="AA2"/>
      <c r="AB2"/>
      <c r="AC2"/>
      <c r="AD2"/>
      <c r="AI2"/>
      <c r="AJ2"/>
      <c r="AK2"/>
      <c r="AL2"/>
      <c r="AN2" s="1515" t="s">
        <v>1334</v>
      </c>
      <c r="AQ2"/>
      <c r="AR2"/>
      <c r="AS2"/>
      <c r="AT2"/>
      <c r="AX2"/>
      <c r="AY2"/>
      <c r="AZ2"/>
      <c r="BA2"/>
      <c r="BE2"/>
      <c r="BF2"/>
      <c r="BG2"/>
      <c r="BH2"/>
      <c r="BI2" s="1515" t="s">
        <v>1335</v>
      </c>
      <c r="CA2" s="1515" t="s">
        <v>1336</v>
      </c>
    </row>
    <row r="3" spans="2:104" s="1515" customFormat="1" x14ac:dyDescent="0.2">
      <c r="B3" s="1515" t="s">
        <v>1337</v>
      </c>
      <c r="E3" t="s">
        <v>1338</v>
      </c>
      <c r="F3"/>
      <c r="G3"/>
      <c r="H3"/>
      <c r="I3" t="s">
        <v>1339</v>
      </c>
      <c r="J3"/>
      <c r="K3"/>
      <c r="L3"/>
      <c r="M3"/>
      <c r="N3"/>
      <c r="O3" t="s">
        <v>417</v>
      </c>
      <c r="P3"/>
      <c r="Q3"/>
      <c r="R3" s="1515" t="s">
        <v>1340</v>
      </c>
      <c r="S3" t="s">
        <v>248</v>
      </c>
      <c r="T3"/>
      <c r="U3"/>
      <c r="V3"/>
      <c r="W3" t="s">
        <v>1341</v>
      </c>
      <c r="X3"/>
      <c r="Y3"/>
      <c r="Z3"/>
      <c r="AA3" t="s">
        <v>1342</v>
      </c>
      <c r="AB3"/>
      <c r="AC3"/>
      <c r="AD3"/>
      <c r="AE3" s="1515" t="s">
        <v>1343</v>
      </c>
      <c r="AI3" t="s">
        <v>1344</v>
      </c>
      <c r="AJ3"/>
      <c r="AK3"/>
      <c r="AL3"/>
      <c r="AN3" s="1515" t="s">
        <v>1345</v>
      </c>
      <c r="AQ3" t="s">
        <v>1346</v>
      </c>
      <c r="AR3"/>
      <c r="AS3"/>
      <c r="AT3"/>
      <c r="AU3" s="1515" t="s">
        <v>1347</v>
      </c>
      <c r="AX3" t="s">
        <v>1348</v>
      </c>
      <c r="AY3"/>
      <c r="AZ3"/>
      <c r="BA3"/>
      <c r="BB3" s="1515" t="s">
        <v>1349</v>
      </c>
      <c r="BE3" t="s">
        <v>1350</v>
      </c>
      <c r="BF3"/>
      <c r="BG3"/>
      <c r="BH3"/>
      <c r="BI3" s="1515" t="s">
        <v>1351</v>
      </c>
      <c r="BL3" s="1515" t="s">
        <v>1352</v>
      </c>
      <c r="BO3" s="1515" t="s">
        <v>1353</v>
      </c>
      <c r="BR3" s="1515" t="s">
        <v>1354</v>
      </c>
      <c r="BU3" s="1515" t="s">
        <v>1355</v>
      </c>
      <c r="BX3" s="1515" t="s">
        <v>1356</v>
      </c>
      <c r="CA3" s="1515" t="s">
        <v>1357</v>
      </c>
      <c r="CB3" s="1515" t="s">
        <v>1358</v>
      </c>
      <c r="CC3" s="1515" t="s">
        <v>1359</v>
      </c>
      <c r="CF3" s="1515" t="s">
        <v>1360</v>
      </c>
      <c r="CI3" s="1515" t="s">
        <v>1361</v>
      </c>
      <c r="CL3" s="1515" t="s">
        <v>1362</v>
      </c>
      <c r="CO3" s="1515" t="s">
        <v>1363</v>
      </c>
      <c r="CR3" s="1515" t="s">
        <v>1364</v>
      </c>
      <c r="CU3" s="1515" t="s">
        <v>1365</v>
      </c>
      <c r="CX3" s="1515" t="s">
        <v>1366</v>
      </c>
    </row>
    <row r="4" spans="2:104" s="1515" customFormat="1" x14ac:dyDescent="0.2">
      <c r="B4" s="1515" t="s">
        <v>1367</v>
      </c>
      <c r="E4" t="s">
        <v>1368</v>
      </c>
      <c r="F4" t="s">
        <v>1369</v>
      </c>
      <c r="G4" t="s">
        <v>1370</v>
      </c>
      <c r="H4"/>
      <c r="I4" t="s">
        <v>1371</v>
      </c>
      <c r="J4" t="s">
        <v>1372</v>
      </c>
      <c r="K4" t="s">
        <v>1371</v>
      </c>
      <c r="L4" t="s">
        <v>1373</v>
      </c>
      <c r="M4" t="s">
        <v>1374</v>
      </c>
      <c r="N4"/>
      <c r="O4" t="s">
        <v>1375</v>
      </c>
      <c r="P4" t="s">
        <v>1376</v>
      </c>
      <c r="Q4"/>
      <c r="R4" s="1515" t="s">
        <v>1377</v>
      </c>
      <c r="S4" t="s">
        <v>1378</v>
      </c>
      <c r="T4" t="s">
        <v>1379</v>
      </c>
      <c r="U4" t="s">
        <v>1380</v>
      </c>
      <c r="V4"/>
      <c r="W4" t="s">
        <v>1074</v>
      </c>
      <c r="X4" t="s">
        <v>1075</v>
      </c>
      <c r="Y4" t="s">
        <v>1076</v>
      </c>
      <c r="Z4"/>
      <c r="AA4" t="s">
        <v>1074</v>
      </c>
      <c r="AB4" t="s">
        <v>1075</v>
      </c>
      <c r="AC4" t="s">
        <v>1076</v>
      </c>
      <c r="AD4"/>
      <c r="AE4" s="1515" t="s">
        <v>1074</v>
      </c>
      <c r="AF4" s="1515" t="s">
        <v>1075</v>
      </c>
      <c r="AG4" s="1515" t="s">
        <v>1076</v>
      </c>
      <c r="AI4" t="s">
        <v>1074</v>
      </c>
      <c r="AJ4" t="s">
        <v>1075</v>
      </c>
      <c r="AK4" t="s">
        <v>1076</v>
      </c>
      <c r="AL4"/>
      <c r="AN4" s="1515" t="s">
        <v>1074</v>
      </c>
      <c r="AO4" s="1515" t="s">
        <v>1075</v>
      </c>
      <c r="AP4" s="1515" t="s">
        <v>1076</v>
      </c>
      <c r="AQ4" t="s">
        <v>1074</v>
      </c>
      <c r="AR4" t="s">
        <v>1075</v>
      </c>
      <c r="AS4" t="s">
        <v>1076</v>
      </c>
      <c r="AT4"/>
      <c r="AU4" s="1515" t="s">
        <v>1074</v>
      </c>
      <c r="AV4" s="1515" t="s">
        <v>1075</v>
      </c>
      <c r="AW4" s="1515" t="s">
        <v>1076</v>
      </c>
      <c r="AX4" t="s">
        <v>1074</v>
      </c>
      <c r="AY4" t="s">
        <v>1075</v>
      </c>
      <c r="AZ4" t="s">
        <v>1076</v>
      </c>
      <c r="BA4"/>
      <c r="BB4" s="1515" t="s">
        <v>1074</v>
      </c>
      <c r="BC4" s="1515" t="s">
        <v>1075</v>
      </c>
      <c r="BD4" s="1515" t="s">
        <v>1076</v>
      </c>
      <c r="BE4" t="s">
        <v>1074</v>
      </c>
      <c r="BF4" t="s">
        <v>1075</v>
      </c>
      <c r="BG4" t="s">
        <v>1076</v>
      </c>
      <c r="BH4"/>
      <c r="BI4" s="1515" t="s">
        <v>1074</v>
      </c>
      <c r="BJ4" s="1515" t="s">
        <v>1075</v>
      </c>
      <c r="BK4" s="1515" t="s">
        <v>1076</v>
      </c>
      <c r="BL4" s="1515" t="s">
        <v>1074</v>
      </c>
      <c r="BM4" s="1515" t="s">
        <v>1075</v>
      </c>
      <c r="BN4" s="1515" t="s">
        <v>1076</v>
      </c>
      <c r="BO4" s="1515" t="s">
        <v>1074</v>
      </c>
      <c r="BP4" s="1515" t="s">
        <v>1075</v>
      </c>
      <c r="BQ4" s="1515" t="s">
        <v>1076</v>
      </c>
      <c r="BR4" s="1515" t="s">
        <v>1074</v>
      </c>
      <c r="BS4" s="1515" t="s">
        <v>1075</v>
      </c>
      <c r="BT4" s="1515" t="s">
        <v>1076</v>
      </c>
      <c r="BU4" s="1515" t="s">
        <v>1381</v>
      </c>
      <c r="BV4" s="1515" t="s">
        <v>1075</v>
      </c>
      <c r="BW4" s="1515" t="s">
        <v>1076</v>
      </c>
      <c r="BX4" s="1515" t="s">
        <v>1381</v>
      </c>
      <c r="BY4" s="1515" t="s">
        <v>1075</v>
      </c>
      <c r="BZ4" s="1515" t="s">
        <v>1076</v>
      </c>
      <c r="CA4" s="1515" t="s">
        <v>1382</v>
      </c>
      <c r="CB4" s="1515" t="s">
        <v>1382</v>
      </c>
      <c r="CC4" s="1515" t="s">
        <v>1381</v>
      </c>
      <c r="CD4" s="1515" t="s">
        <v>1075</v>
      </c>
      <c r="CE4" s="1515" t="s">
        <v>1076</v>
      </c>
      <c r="CF4" s="1515" t="s">
        <v>1381</v>
      </c>
      <c r="CG4" s="1515" t="s">
        <v>1075</v>
      </c>
      <c r="CH4" s="1515" t="s">
        <v>1076</v>
      </c>
      <c r="CI4" s="1515" t="s">
        <v>1381</v>
      </c>
      <c r="CJ4" s="1515" t="s">
        <v>1075</v>
      </c>
      <c r="CK4" s="1515" t="s">
        <v>1076</v>
      </c>
      <c r="CL4" s="1515" t="s">
        <v>1381</v>
      </c>
      <c r="CM4" s="1515" t="s">
        <v>1075</v>
      </c>
      <c r="CN4" s="1515" t="s">
        <v>1076</v>
      </c>
      <c r="CO4" s="1515" t="s">
        <v>1381</v>
      </c>
      <c r="CP4" s="1515" t="s">
        <v>1075</v>
      </c>
      <c r="CQ4" s="1515" t="s">
        <v>1076</v>
      </c>
      <c r="CR4" s="1515" t="s">
        <v>1381</v>
      </c>
      <c r="CS4" s="1515" t="s">
        <v>1075</v>
      </c>
      <c r="CT4" s="1515" t="s">
        <v>1076</v>
      </c>
      <c r="CU4" s="1515" t="s">
        <v>1381</v>
      </c>
      <c r="CV4" s="1515" t="s">
        <v>1075</v>
      </c>
      <c r="CW4" s="1515" t="s">
        <v>1076</v>
      </c>
      <c r="CX4" s="1515" t="s">
        <v>1381</v>
      </c>
      <c r="CY4" s="1515" t="s">
        <v>1075</v>
      </c>
      <c r="CZ4" s="1515" t="s">
        <v>1076</v>
      </c>
    </row>
    <row r="5" spans="2:104" x14ac:dyDescent="0.2">
      <c r="B5" t="s">
        <v>1383</v>
      </c>
      <c r="D5" t="s">
        <v>1384</v>
      </c>
    </row>
    <row r="6" spans="2:104" x14ac:dyDescent="0.2">
      <c r="B6" t="s">
        <v>1385</v>
      </c>
      <c r="D6" t="s">
        <v>1384</v>
      </c>
    </row>
    <row r="7" spans="2:104" x14ac:dyDescent="0.2">
      <c r="B7" t="s">
        <v>1386</v>
      </c>
      <c r="D7" t="s">
        <v>1387</v>
      </c>
    </row>
    <row r="8" spans="2:104" x14ac:dyDescent="0.2">
      <c r="B8" t="s">
        <v>1388</v>
      </c>
      <c r="D8" t="s">
        <v>1387</v>
      </c>
    </row>
    <row r="9" spans="2:104" x14ac:dyDescent="0.2">
      <c r="B9" t="s">
        <v>1389</v>
      </c>
      <c r="D9" t="s">
        <v>1384</v>
      </c>
    </row>
    <row r="10" spans="2:104" x14ac:dyDescent="0.2">
      <c r="B10" t="s">
        <v>1390</v>
      </c>
    </row>
    <row r="11" spans="2:104" x14ac:dyDescent="0.2">
      <c r="B11" t="s">
        <v>1391</v>
      </c>
    </row>
    <row r="12" spans="2:104" x14ac:dyDescent="0.2">
      <c r="B12" t="s">
        <v>1392</v>
      </c>
    </row>
    <row r="13" spans="2:104" x14ac:dyDescent="0.2">
      <c r="B13" t="s">
        <v>1393</v>
      </c>
      <c r="D13" t="s">
        <v>1058</v>
      </c>
    </row>
    <row r="15" spans="2:104" x14ac:dyDescent="0.2">
      <c r="B15" t="s">
        <v>1394</v>
      </c>
      <c r="D15" t="s">
        <v>1058</v>
      </c>
    </row>
    <row r="16" spans="2:104" x14ac:dyDescent="0.2">
      <c r="B16" t="s">
        <v>1395</v>
      </c>
      <c r="D16" t="s">
        <v>1058</v>
      </c>
    </row>
    <row r="17" spans="2:60" x14ac:dyDescent="0.2">
      <c r="B17" t="s">
        <v>1396</v>
      </c>
      <c r="D17" t="s">
        <v>1058</v>
      </c>
    </row>
    <row r="18" spans="2:60" x14ac:dyDescent="0.2">
      <c r="B18" t="s">
        <v>1397</v>
      </c>
      <c r="D18" t="s">
        <v>1058</v>
      </c>
    </row>
    <row r="19" spans="2:60" x14ac:dyDescent="0.2">
      <c r="B19" t="s">
        <v>1398</v>
      </c>
      <c r="D19" t="s">
        <v>1058</v>
      </c>
    </row>
    <row r="20" spans="2:60" x14ac:dyDescent="0.2">
      <c r="B20" t="s">
        <v>1399</v>
      </c>
      <c r="D20" t="s">
        <v>1058</v>
      </c>
    </row>
    <row r="21" spans="2:60" x14ac:dyDescent="0.2">
      <c r="B21" t="s">
        <v>1400</v>
      </c>
      <c r="D21" t="s">
        <v>1058</v>
      </c>
    </row>
    <row r="22" spans="2:60" x14ac:dyDescent="0.2">
      <c r="B22" t="s">
        <v>105</v>
      </c>
      <c r="D22" t="s">
        <v>1058</v>
      </c>
      <c r="E22" s="3696">
        <f>_Fu_bau_mit_Mwst!E22-Fu_bau_ohne_Mwst!E22</f>
        <v>74.830646899016472</v>
      </c>
      <c r="F22" s="3696">
        <f>_Fu_bau_mit_Mwst!F22-Fu_bau_ohne_Mwst!F22</f>
        <v>84.980463436516459</v>
      </c>
      <c r="G22" s="3696">
        <f>_Fu_bau_mit_Mwst!G22-Fu_bau_ohne_Mwst!G22</f>
        <v>143.01798212547055</v>
      </c>
      <c r="H22">
        <f>AVERAGE(E22:G22)</f>
        <v>100.9430308203345</v>
      </c>
      <c r="I22">
        <f>_Fu_bau_mit_Mwst!H22-Fu_bau_ohne_Mwst!H22</f>
        <v>90.501762276588238</v>
      </c>
      <c r="J22">
        <f>_Fu_bau_mit_Mwst!I22-Fu_bau_ohne_Mwst!I22</f>
        <v>135.47172201731053</v>
      </c>
      <c r="K22">
        <f>_Fu_bau_mit_Mwst!J22-Fu_bau_ohne_Mwst!J22</f>
        <v>94.105193723679349</v>
      </c>
      <c r="L22">
        <f>_Fu_bau_mit_Mwst!K22-Fu_bau_ohne_Mwst!K22</f>
        <v>156.41217798633693</v>
      </c>
      <c r="M22">
        <f>_Fu_bau_mit_Mwst!L22-Fu_bau_ohne_Mwst!L22</f>
        <v>162.39290564209045</v>
      </c>
      <c r="N22">
        <f>AVERAGE(I22:M22)</f>
        <v>127.7767523292011</v>
      </c>
      <c r="O22" s="3696">
        <f>_Fu_bau_mit_Mwst!M22-Fu_bau_ohne_Mwst!M22</f>
        <v>79.015705251887312</v>
      </c>
      <c r="P22" s="3696">
        <f>_Fu_bau_mit_Mwst!N22-Fu_bau_ohne_Mwst!N22</f>
        <v>111.80640781322006</v>
      </c>
      <c r="Q22">
        <f>AVERAGE(O22:P22)</f>
        <v>95.411056532553687</v>
      </c>
      <c r="R22" s="2497">
        <f>_Fu_bau_mit_Mwst!O22-Fu_bau_ohne_Mwst!O22</f>
        <v>273.64674992106666</v>
      </c>
      <c r="S22" s="3696">
        <f>_Fu_bau_mit_Mwst!P22-Fu_bau_ohne_Mwst!P22</f>
        <v>49.043526581458821</v>
      </c>
      <c r="T22" s="3696">
        <f>_Fu_bau_mit_Mwst!Q22-Fu_bau_ohne_Mwst!Q22</f>
        <v>88.940379376141152</v>
      </c>
      <c r="U22" s="3696">
        <f>_Fu_bau_mit_Mwst!R22-Fu_bau_ohne_Mwst!R22</f>
        <v>95.325566876141124</v>
      </c>
      <c r="V22">
        <f>AVERAGE(S22:U22)</f>
        <v>77.769824277913699</v>
      </c>
      <c r="W22" s="3696">
        <f>_Fu_bau_mit_Mwst!S22-Fu_bau_ohne_Mwst!S22</f>
        <v>94.407634256339861</v>
      </c>
      <c r="X22" s="3696">
        <f>_Fu_bau_mit_Mwst!T22-Fu_bau_ohne_Mwst!T22</f>
        <v>107.6832150704023</v>
      </c>
      <c r="Y22" s="3696">
        <f>_Fu_bau_mit_Mwst!U22-Fu_bau_ohne_Mwst!U22</f>
        <v>120.95879588446473</v>
      </c>
      <c r="Z22">
        <f>AVERAGE(W22:Y22)</f>
        <v>107.6832150704023</v>
      </c>
      <c r="AA22" s="3696">
        <f>_Fu_bau_mit_Mwst!Y22-Fu_bau_ohne_Mwst!Y22</f>
        <v>116.4418357067492</v>
      </c>
      <c r="AB22" s="3696">
        <f>_Fu_bau_mit_Mwst!Z22-Fu_bau_ohne_Mwst!Z22</f>
        <v>136.8402426634816</v>
      </c>
      <c r="AC22" s="3696">
        <f>_Fu_bau_mit_Mwst!AA22-Fu_bau_ohne_Mwst!AA22</f>
        <v>157.23864962021389</v>
      </c>
      <c r="AD22">
        <f>AVERAGE(AA22:AC22)</f>
        <v>136.84024266348158</v>
      </c>
      <c r="AE22" s="3696">
        <f>_Fu_bau_mit_Mwst!AF22-Fu_bau_ohne_Mwst!AF22</f>
        <v>161.69319587665098</v>
      </c>
      <c r="AF22" s="3696">
        <f>_Fu_bau_mit_Mwst!AG22-Fu_bau_ohne_Mwst!AG22</f>
        <v>178.01798771552421</v>
      </c>
      <c r="AG22" s="3696">
        <f>_Fu_bau_mit_Mwst!AH22-Fu_bau_ohne_Mwst!AH22</f>
        <v>190.6805327195741</v>
      </c>
      <c r="AH22">
        <f>AVERAGE(AE22:AG22)</f>
        <v>176.79723877058311</v>
      </c>
      <c r="AI22" s="3696">
        <f>_Fu_bau_mit_Mwst!AI22-Fu_bau_ohne_Mwst!AI22</f>
        <v>164.81170694560217</v>
      </c>
      <c r="AJ22" s="3696">
        <f>_Fu_bau_mit_Mwst!AJ22-Fu_bau_ohne_Mwst!AJ22</f>
        <v>183.57395975426402</v>
      </c>
      <c r="AK22" s="3696">
        <f>_Fu_bau_mit_Mwst!AK22-Fu_bau_ohne_Mwst!AK22</f>
        <v>202.33621256292622</v>
      </c>
      <c r="AL22">
        <f>AVERAGE(AI22:AK22)</f>
        <v>183.57395975426414</v>
      </c>
      <c r="AM22" s="3696">
        <f>_Fu_bau_mit_Mwst!AF22-Fu_bau_ohne_Mwst!AF22</f>
        <v>161.69319587665098</v>
      </c>
      <c r="AN22" s="3696">
        <f>_Fu_bau_mit_Mwst!AG22-Fu_bau_ohne_Mwst!AG22</f>
        <v>178.01798771552421</v>
      </c>
      <c r="AO22" s="3696">
        <f>_Fu_bau_mit_Mwst!AH22-Fu_bau_ohne_Mwst!AH22</f>
        <v>190.6805327195741</v>
      </c>
      <c r="AP22">
        <f>AVERAGE(AM22:AO22)</f>
        <v>176.79723877058311</v>
      </c>
      <c r="AQ22" s="3696">
        <f>_Fu_bau_mit_Mwst!AI22-Fu_bau_ohne_Mwst!AI22</f>
        <v>164.81170694560217</v>
      </c>
      <c r="AR22" s="3696">
        <f>_Fu_bau_mit_Mwst!AJ22-Fu_bau_ohne_Mwst!AJ22</f>
        <v>183.57395975426402</v>
      </c>
      <c r="AS22" s="3696">
        <f>_Fu_bau_mit_Mwst!AK22-Fu_bau_ohne_Mwst!AK22</f>
        <v>202.33621256292622</v>
      </c>
      <c r="AT22">
        <f>AVERAGE(AQ22:AS22)</f>
        <v>183.57395975426414</v>
      </c>
    </row>
    <row r="23" spans="2:60" x14ac:dyDescent="0.2">
      <c r="B23" t="s">
        <v>1401</v>
      </c>
      <c r="D23" t="s">
        <v>1058</v>
      </c>
    </row>
    <row r="24" spans="2:60" x14ac:dyDescent="0.2">
      <c r="B24" t="s">
        <v>1402</v>
      </c>
      <c r="D24" t="s">
        <v>1058</v>
      </c>
    </row>
    <row r="25" spans="2:60" x14ac:dyDescent="0.2">
      <c r="B25" t="s">
        <v>1403</v>
      </c>
      <c r="D25" t="s">
        <v>1058</v>
      </c>
    </row>
    <row r="26" spans="2:60" x14ac:dyDescent="0.2">
      <c r="B26" t="s">
        <v>1404</v>
      </c>
      <c r="D26" t="s">
        <v>1058</v>
      </c>
    </row>
    <row r="27" spans="2:60" x14ac:dyDescent="0.2">
      <c r="D27" t="s">
        <v>1405</v>
      </c>
      <c r="E27" s="3696">
        <f>_Fu_bau_mit_Mwst!E27-Fu_bau_ohne_Mwst!E27</f>
        <v>-1.8816752234610143E-2</v>
      </c>
      <c r="F27" s="3696">
        <f>_Fu_bau_mit_Mwst!F27-Fu_bau_ohne_Mwst!F27</f>
        <v>-1.9619045583161118E-2</v>
      </c>
      <c r="G27" s="3696">
        <f>_Fu_bau_mit_Mwst!G27-Fu_bau_ohne_Mwst!G27</f>
        <v>-2.2293991488538056E-2</v>
      </c>
      <c r="H27">
        <f>AVERAGE(E27:G27)</f>
        <v>-2.0243263102103105E-2</v>
      </c>
      <c r="I27">
        <f>_Fu_bau_mit_Mwst!H27-Fu_bau_ohne_Mwst!H27</f>
        <v>-2.611608771540417E-2</v>
      </c>
      <c r="J27">
        <f>_Fu_bau_mit_Mwst!I27-Fu_bau_ohne_Mwst!I27</f>
        <v>-3.5360337664791269E-2</v>
      </c>
      <c r="K27">
        <f>_Fu_bau_mit_Mwst!J27-Fu_bau_ohne_Mwst!J27</f>
        <v>-2.4562996443307193E-2</v>
      </c>
      <c r="L27">
        <f>_Fu_bau_mit_Mwst!K27-Fu_bau_ohne_Mwst!K27</f>
        <v>-2.6957459255943464E-2</v>
      </c>
      <c r="M27">
        <f>_Fu_bau_mit_Mwst!L27-Fu_bau_ohne_Mwst!L27</f>
        <v>-4.2242293869603598E-2</v>
      </c>
      <c r="N27">
        <f>AVERAGE(I27:M27)</f>
        <v>-3.1047834989809942E-2</v>
      </c>
      <c r="O27" s="3696">
        <f>_Fu_bau_mit_Mwst!M27-Fu_bau_ohne_Mwst!M27</f>
        <v>-3.1062054371274742E-2</v>
      </c>
      <c r="P27" s="3696">
        <f>_Fu_bau_mit_Mwst!N27-Fu_bau_ohne_Mwst!N27</f>
        <v>-3.1820804707527961E-2</v>
      </c>
      <c r="Q27">
        <f>AVERAGE(O27:P27)</f>
        <v>-3.144142953940135E-2</v>
      </c>
      <c r="R27" s="2497">
        <f>_Fu_bau_mit_Mwst!O27-Fu_bau_ohne_Mwst!O27</f>
        <v>-4.0497716192171629E-2</v>
      </c>
      <c r="S27" s="3695">
        <f>_Fu_bau_mit_Mwst!P27-Fu_bau_ohne_Mwst!P27</f>
        <v>-1.9008388159711065E-2</v>
      </c>
      <c r="T27" s="3695">
        <f>_Fu_bau_mit_Mwst!Q27-Fu_bau_ohne_Mwst!Q27</f>
        <v>-2.0122408275954868E-2</v>
      </c>
      <c r="U27" s="3695">
        <f>_Fu_bau_mit_Mwst!R27-Fu_bau_ohne_Mwst!R27</f>
        <v>-1.9230046784758991E-2</v>
      </c>
      <c r="V27">
        <f>AVERAGE(S27:U27)</f>
        <v>-1.9453614406808307E-2</v>
      </c>
      <c r="W27" s="3696">
        <f>_Fu_bau_mit_Mwst!S27-Fu_bau_ohne_Mwst!S27</f>
        <v>-1.8252202960753409E-2</v>
      </c>
      <c r="X27" s="3696">
        <f>_Fu_bau_mit_Mwst!T27-Fu_bau_ohne_Mwst!T27</f>
        <v>-1.7844706059573348E-2</v>
      </c>
      <c r="Y27" s="3696">
        <f>_Fu_bau_mit_Mwst!U27-Fu_bau_ohne_Mwst!U27</f>
        <v>-1.7539083383688321E-2</v>
      </c>
      <c r="Z27">
        <f>AVERAGE(W27:Y27)</f>
        <v>-1.7878664134671693E-2</v>
      </c>
      <c r="AA27" s="3696">
        <f>_Fu_bau_mit_Mwst!Y27-Fu_bau_ohne_Mwst!Y27</f>
        <v>-2.4206626512914622E-2</v>
      </c>
      <c r="AB27" s="3696">
        <f>_Fu_bau_mit_Mwst!Z27-Fu_bau_ohne_Mwst!Z27</f>
        <v>-2.3274956925824347E-2</v>
      </c>
      <c r="AC27" s="3696">
        <f>_Fu_bau_mit_Mwst!AA27-Fu_bau_ohne_Mwst!AA27</f>
        <v>-2.2629954903992611E-2</v>
      </c>
      <c r="AD27">
        <f>AVERAGE(AA27:AC27)</f>
        <v>-2.3370512780910527E-2</v>
      </c>
      <c r="AE27" s="3696">
        <f>_Fu_bau_mit_Mwst!AF27-Fu_bau_ohne_Mwst!AF27</f>
        <v>-2.4378086001139804E-2</v>
      </c>
      <c r="AF27" s="3696">
        <f>_Fu_bau_mit_Mwst!AG27-Fu_bau_ohne_Mwst!AG27</f>
        <v>-2.2360818554529677E-2</v>
      </c>
      <c r="AG27" s="3696">
        <f>_Fu_bau_mit_Mwst!AH27-Fu_bau_ohne_Mwst!AH27</f>
        <v>-2.0757844767492997E-2</v>
      </c>
      <c r="AH27">
        <f>AVERAGE(AE27:AG27)</f>
        <v>-2.2498916441054159E-2</v>
      </c>
      <c r="AI27" s="3696">
        <f>_Fu_bau_mit_Mwst!AI27-Fu_bau_ohne_Mwst!AI27</f>
        <v>-2.2884840926053543E-2</v>
      </c>
      <c r="AJ27" s="3696">
        <f>_Fu_bau_mit_Mwst!AJ27-Fu_bau_ohne_Mwst!AJ27</f>
        <v>-2.07756003030658E-2</v>
      </c>
      <c r="AK27" s="3696">
        <f>_Fu_bau_mit_Mwst!AK27-Fu_bau_ohne_Mwst!AK27</f>
        <v>-1.9531482226155264E-2</v>
      </c>
      <c r="AL27">
        <f>AVERAGE(AI27:AK27)</f>
        <v>-2.1063974485091536E-2</v>
      </c>
      <c r="AM27" s="3696">
        <f>_Fu_bau_mit_Mwst!AF27-Fu_bau_ohne_Mwst!AF27</f>
        <v>-2.4378086001139804E-2</v>
      </c>
      <c r="AN27" s="3696">
        <f>_Fu_bau_mit_Mwst!AG27-Fu_bau_ohne_Mwst!AG27</f>
        <v>-2.2360818554529677E-2</v>
      </c>
      <c r="AO27" s="3696">
        <f>_Fu_bau_mit_Mwst!AH27-Fu_bau_ohne_Mwst!AH27</f>
        <v>-2.0757844767492997E-2</v>
      </c>
      <c r="AP27">
        <f>AVERAGE(AM27:AO27)</f>
        <v>-2.2498916441054159E-2</v>
      </c>
      <c r="AQ27" s="3696">
        <f>_Fu_bau_mit_Mwst!AI27-Fu_bau_ohne_Mwst!AI27</f>
        <v>-2.2884840926053543E-2</v>
      </c>
      <c r="AR27" s="3696">
        <f>_Fu_bau_mit_Mwst!AJ27-Fu_bau_ohne_Mwst!AJ27</f>
        <v>-2.07756003030658E-2</v>
      </c>
      <c r="AS27" s="3696">
        <f>_Fu_bau_mit_Mwst!AK27-Fu_bau_ohne_Mwst!AK27</f>
        <v>-1.9531482226155264E-2</v>
      </c>
      <c r="AT27">
        <f>AVERAGE(AQ27:AS27)</f>
        <v>-2.1063974485091536E-2</v>
      </c>
      <c r="AX27" s="3696">
        <f>_Fu_bau_mit_Mwst!AX27-Fu_bau_ohne_Mwst!AX27</f>
        <v>-2.087083720203399E-2</v>
      </c>
      <c r="AY27" s="3696">
        <f>_Fu_bau_mit_Mwst!AY27-Fu_bau_ohne_Mwst!AY27</f>
        <v>-1.8147651373021711E-2</v>
      </c>
      <c r="AZ27" s="3696">
        <f>_Fu_bau_mit_Mwst!AZ27-Fu_bau_ohne_Mwst!AZ27</f>
        <v>-1.633219415368023E-2</v>
      </c>
      <c r="BA27">
        <f>AVERAGE(AX27:AZ27)</f>
        <v>-1.8450227576245311E-2</v>
      </c>
      <c r="BE27" s="3696">
        <f>_Fu_bau_mit_Mwst!BE27-Fu_bau_ohne_Mwst!BE27</f>
        <v>-2.0315825869721499E-2</v>
      </c>
      <c r="BF27" s="3696">
        <f>_Fu_bau_mit_Mwst!BF27-Fu_bau_ohne_Mwst!BF27</f>
        <v>-1.8878989877318744E-2</v>
      </c>
      <c r="BG27" s="3696">
        <f>_Fu_bau_mit_Mwst!BG27-Fu_bau_ohne_Mwst!BG27</f>
        <v>-3.5760431087649244E-2</v>
      </c>
      <c r="BH27">
        <f>AVERAGE(BE27:BG27)</f>
        <v>-2.498508227822983E-2</v>
      </c>
    </row>
    <row r="28" spans="2:60" x14ac:dyDescent="0.2">
      <c r="D28" t="s">
        <v>1406</v>
      </c>
    </row>
    <row r="30" spans="2:60" x14ac:dyDescent="0.2">
      <c r="B30" t="s">
        <v>1407</v>
      </c>
      <c r="D30" t="s">
        <v>540</v>
      </c>
    </row>
    <row r="31" spans="2:60" x14ac:dyDescent="0.2">
      <c r="B31" t="s">
        <v>1408</v>
      </c>
      <c r="D31" t="s">
        <v>1409</v>
      </c>
    </row>
    <row r="32" spans="2:60" x14ac:dyDescent="0.2">
      <c r="B32" t="s">
        <v>1410</v>
      </c>
      <c r="C32">
        <v>15.75</v>
      </c>
      <c r="D32" t="s">
        <v>1058</v>
      </c>
    </row>
    <row r="33" spans="2:124" x14ac:dyDescent="0.2">
      <c r="B33" t="s">
        <v>1411</v>
      </c>
      <c r="D33" t="s">
        <v>1058</v>
      </c>
    </row>
    <row r="34" spans="2:124" x14ac:dyDescent="0.2">
      <c r="B34" t="s">
        <v>1412</v>
      </c>
      <c r="D34" t="s">
        <v>1058</v>
      </c>
    </row>
    <row r="35" spans="2:124" x14ac:dyDescent="0.2">
      <c r="B35" t="s">
        <v>1413</v>
      </c>
      <c r="D35" t="s">
        <v>1058</v>
      </c>
    </row>
    <row r="36" spans="2:124" x14ac:dyDescent="0.2">
      <c r="B36" t="s">
        <v>1414</v>
      </c>
      <c r="D36" t="s">
        <v>1058</v>
      </c>
    </row>
    <row r="37" spans="2:124" x14ac:dyDescent="0.2">
      <c r="B37" t="s">
        <v>1415</v>
      </c>
      <c r="D37" t="s">
        <v>1058</v>
      </c>
    </row>
    <row r="38" spans="2:124" x14ac:dyDescent="0.2">
      <c r="B38" t="s">
        <v>1416</v>
      </c>
      <c r="D38" t="s">
        <v>1058</v>
      </c>
    </row>
    <row r="40" spans="2:124" x14ac:dyDescent="0.2">
      <c r="B40" t="s">
        <v>1417</v>
      </c>
      <c r="D40" t="s">
        <v>1058</v>
      </c>
    </row>
    <row r="41" spans="2:124" x14ac:dyDescent="0.2">
      <c r="B41" t="s">
        <v>87</v>
      </c>
      <c r="D41" t="s">
        <v>1058</v>
      </c>
    </row>
    <row r="42" spans="2:124" x14ac:dyDescent="0.2">
      <c r="B42" t="s">
        <v>1418</v>
      </c>
      <c r="D42" t="s">
        <v>1058</v>
      </c>
    </row>
    <row r="43" spans="2:124" x14ac:dyDescent="0.2">
      <c r="B43" t="s">
        <v>1419</v>
      </c>
      <c r="D43" t="s">
        <v>1058</v>
      </c>
    </row>
    <row r="44" spans="2:124" x14ac:dyDescent="0.2">
      <c r="B44" t="s">
        <v>1420</v>
      </c>
      <c r="D44" t="s">
        <v>1058</v>
      </c>
    </row>
    <row r="45" spans="2:124" x14ac:dyDescent="0.2">
      <c r="B45" t="s">
        <v>1421</v>
      </c>
      <c r="D45" t="s">
        <v>1058</v>
      </c>
      <c r="E45" s="3694">
        <f>_Fu_bau_mit_Mwst!E45-Fu_bau_ohne_Mwst!E45</f>
        <v>130.07160489926912</v>
      </c>
      <c r="F45" s="3694">
        <f>_Fu_bau_mit_Mwst!F45-Fu_bau_ohne_Mwst!F45</f>
        <v>140.30600324124862</v>
      </c>
      <c r="G45" s="3694">
        <f>_Fu_bau_mit_Mwst!G45-Fu_bau_ohne_Mwst!G45</f>
        <v>198.82716791927692</v>
      </c>
      <c r="H45">
        <f>AVERAGE(E45:G45)</f>
        <v>156.40159201993154</v>
      </c>
      <c r="I45" s="3691">
        <f>_Fu_bau_mit_Mwst!H45-Fu_bau_ohne_Mwst!H45</f>
        <v>193.03796290498735</v>
      </c>
      <c r="J45" s="3691">
        <f>_Fu_bau_mit_Mwst!I45-Fu_bau_ohne_Mwst!I45</f>
        <v>170.99127803412148</v>
      </c>
      <c r="K45" s="3691">
        <f>_Fu_bau_mit_Mwst!J45-Fu_bau_ohne_Mwst!J45</f>
        <v>197.64913128080434</v>
      </c>
      <c r="L45" s="3691">
        <f>_Fu_bau_mit_Mwst!K45-Fu_bau_ohne_Mwst!K45</f>
        <v>267.31929874565071</v>
      </c>
      <c r="M45" s="3691">
        <f>_Fu_bau_mit_Mwst!L45-Fu_bau_ohne_Mwst!L45</f>
        <v>183.47117985577461</v>
      </c>
      <c r="N45">
        <f>AVERAGE(I45:M45)</f>
        <v>202.49377016426769</v>
      </c>
      <c r="O45">
        <f>_Fu_bau_mit_Mwst!M45-Fu_bau_ohne_Mwst!M45</f>
        <v>153.77797628211374</v>
      </c>
      <c r="P45">
        <f>_Fu_bau_mit_Mwst!N45-Fu_bau_ohne_Mwst!N45</f>
        <v>191.15835911672866</v>
      </c>
      <c r="Q45">
        <f>AVERAGE(O45:P45)</f>
        <v>172.4681676994212</v>
      </c>
      <c r="R45" s="1516">
        <f>_Fu_bau_mit_Mwst!O45-Fu_bau_ohne_Mwst!O45</f>
        <v>350.05917207950006</v>
      </c>
      <c r="S45" s="3694">
        <f>_Fu_bau_mit_Mwst!P45-Fu_bau_ohne_Mwst!P45</f>
        <v>87.447163469637644</v>
      </c>
      <c r="T45" s="3694">
        <f>_Fu_bau_mit_Mwst!Q45-Fu_bau_ohne_Mwst!Q45</f>
        <v>127.67649003760903</v>
      </c>
      <c r="U45" s="3694">
        <f>_Fu_bau_mit_Mwst!R45-Fu_bau_ohne_Mwst!R45</f>
        <v>134.11488743344239</v>
      </c>
      <c r="V45">
        <f>AVERAGE(S45:U45)</f>
        <v>116.41284698022969</v>
      </c>
      <c r="W45" s="3691">
        <f>_Fu_bau_mit_Mwst!S45-Fu_bau_ohne_Mwst!S45</f>
        <v>162.50584492901476</v>
      </c>
      <c r="X45" s="3691">
        <f>_Fu_bau_mit_Mwst!T45-Fu_bau_ohne_Mwst!T45</f>
        <v>175.89205558319441</v>
      </c>
      <c r="Y45" s="3691">
        <f>_Fu_bau_mit_Mwst!U45-Fu_bau_ohne_Mwst!U45</f>
        <v>189.27826623737405</v>
      </c>
      <c r="Z45">
        <f>AVERAGE(W45:Y45)</f>
        <v>175.89205558319441</v>
      </c>
      <c r="AA45" s="3694">
        <f>_Fu_bau_mit_Mwst!V45-Fu_bau_ohne_Mwst!V45</f>
        <v>169.80214492901473</v>
      </c>
      <c r="AB45" s="3694">
        <f>_Fu_bau_mit_Mwst!W45-Fu_bau_ohne_Mwst!W45</f>
        <v>189.41299246792096</v>
      </c>
      <c r="AC45" s="3694">
        <f>_Fu_bau_mit_Mwst!X45-Fu_bau_ohne_Mwst!X45</f>
        <v>212.28419633671251</v>
      </c>
      <c r="AD45">
        <f>AVERAGE(AA45:AC45)</f>
        <v>190.49977791121606</v>
      </c>
      <c r="AE45" s="1516">
        <f>_Fu_bau_mit_Mwst!Y45-Fu_bau_ohne_Mwst!Y45</f>
        <v>230.68787711343566</v>
      </c>
      <c r="AF45" s="1516">
        <f>_Fu_bau_mit_Mwst!Z45-Fu_bau_ohne_Mwst!Z45</f>
        <v>254.91614156129617</v>
      </c>
      <c r="AG45" s="1516">
        <f>_Fu_bau_mit_Mwst!AA45-Fu_bau_ohne_Mwst!AA45</f>
        <v>279.14440600915623</v>
      </c>
      <c r="AH45">
        <f>AVERAGE(AE45:AG45)</f>
        <v>254.91614156129603</v>
      </c>
      <c r="AI45" s="3694">
        <f>_Fu_bau_mit_Mwst!AB45-Fu_bau_ohne_Mwst!AB45</f>
        <v>217.76528671953974</v>
      </c>
      <c r="AJ45" s="3694">
        <f>_Fu_bau_mit_Mwst!AC45-Fu_bau_ohne_Mwst!AC45</f>
        <v>235.20834590482627</v>
      </c>
      <c r="AK45" s="3694">
        <f>_Fu_bau_mit_Mwst!AD45-Fu_bau_ohne_Mwst!AD45</f>
        <v>256.41704770071783</v>
      </c>
      <c r="AL45">
        <f>AVERAGE(AI45:AK45)</f>
        <v>236.46356010836129</v>
      </c>
      <c r="AM45" s="3015">
        <f>AVERAGE(E45:AK45)</f>
        <v>192.97898887005834</v>
      </c>
      <c r="AN45" s="1516">
        <f>_Fu_bau_mit_Mwst!AF45-Fu_bau_ohne_Mwst!AF45</f>
        <v>254.71087154334782</v>
      </c>
      <c r="AO45" s="1516">
        <f>_Fu_bau_mit_Mwst!AG45-Fu_bau_ohne_Mwst!AG45</f>
        <v>274.91412755663578</v>
      </c>
      <c r="AP45" s="1516">
        <f>_Fu_bau_mit_Mwst!AH45-Fu_bau_ohne_Mwst!AH45</f>
        <v>291.42461801147692</v>
      </c>
      <c r="AQ45" s="3694">
        <f>_Fu_bau_mit_Mwst!AI45-Fu_bau_ohne_Mwst!AI45</f>
        <v>258.6038550530252</v>
      </c>
      <c r="AR45" s="3694">
        <f>_Fu_bau_mit_Mwst!AJ45-Fu_bau_ohne_Mwst!AJ45</f>
        <v>281.96658875630465</v>
      </c>
      <c r="AS45" s="3694">
        <f>_Fu_bau_mit_Mwst!AK45-Fu_bau_ohne_Mwst!AK45</f>
        <v>305.32932245958455</v>
      </c>
      <c r="AT45">
        <f>AVERAGE(AQ45:AS45)</f>
        <v>281.96658875630482</v>
      </c>
      <c r="AU45" s="1516">
        <f>_Fu_bau_mit_Mwst!AL45-Fu_bau_ohne_Mwst!AL45</f>
        <v>35.396452747333342</v>
      </c>
      <c r="AV45" s="1516">
        <f>_Fu_bau_mit_Mwst!AM45-Fu_bau_ohne_Mwst!AM45</f>
        <v>41.11366510826673</v>
      </c>
      <c r="AW45" s="1516">
        <f>_Fu_bau_mit_Mwst!AN45-Fu_bau_ohne_Mwst!AN45</f>
        <v>47.495192677533339</v>
      </c>
      <c r="AX45" s="3694">
        <f>_Fu_bau_mit_Mwst!AO45-Fu_bau_ohne_Mwst!AO45</f>
        <v>205.25983031868827</v>
      </c>
      <c r="AY45" s="3694">
        <f>_Fu_bau_mit_Mwst!AP45-Fu_bau_ohne_Mwst!AP45</f>
        <v>226.19810376222858</v>
      </c>
      <c r="AZ45" s="3694">
        <f>_Fu_bau_mit_Mwst!AQ45-Fu_bau_ohne_Mwst!AQ45</f>
        <v>241.43677303910226</v>
      </c>
      <c r="BA45" s="3694"/>
      <c r="BB45" s="1516">
        <f>_Fu_bau_mit_Mwst!AR45-Fu_bau_ohne_Mwst!AR45</f>
        <v>225.91761371423968</v>
      </c>
      <c r="BC45" s="1516">
        <f>_Fu_bau_mit_Mwst!AS45-Fu_bau_ohne_Mwst!AS45</f>
        <v>238.77460411311722</v>
      </c>
      <c r="BD45" s="1516">
        <f>_Fu_bau_mit_Mwst!AT45-Fu_bau_ohne_Mwst!AT45</f>
        <v>251.63159451199454</v>
      </c>
      <c r="BE45" s="3694">
        <f>_Fu_bau_mit_Mwst!AU45-Fu_bau_ohne_Mwst!AU45</f>
        <v>228.19414458203823</v>
      </c>
      <c r="BF45" s="3694">
        <f>_Fu_bau_mit_Mwst!AV45-Fu_bau_ohne_Mwst!AV45</f>
        <v>241.86394229949747</v>
      </c>
      <c r="BG45" s="3694">
        <f>_Fu_bau_mit_Mwst!AW45-Fu_bau_ohne_Mwst!AW45</f>
        <v>255.5337400169567</v>
      </c>
      <c r="BH45" s="3694"/>
      <c r="BI45" s="1516">
        <f>_Fu_bau_mit_Mwst!AX45-Fu_bau_ohne_Mwst!AX45</f>
        <v>141.20489829372241</v>
      </c>
      <c r="BJ45" s="1516">
        <f>_Fu_bau_mit_Mwst!AY45-Fu_bau_ohne_Mwst!AY45</f>
        <v>147.6890449187224</v>
      </c>
      <c r="BK45" s="1516">
        <f>_Fu_bau_mit_Mwst!AZ45-Fu_bau_ohne_Mwst!AZ45</f>
        <v>154.17319154372217</v>
      </c>
      <c r="BL45" s="1516">
        <f>_Fu_bau_mit_Mwst!BA45-Fu_bau_ohne_Mwst!BA45</f>
        <v>215.95048697422772</v>
      </c>
      <c r="BM45" s="1516">
        <f>_Fu_bau_mit_Mwst!BB45-Fu_bau_ohne_Mwst!BB45</f>
        <v>233.76623616123675</v>
      </c>
      <c r="BN45" s="1516">
        <f>_Fu_bau_mit_Mwst!BC45-Fu_bau_ohne_Mwst!BC45</f>
        <v>251.54272277876589</v>
      </c>
      <c r="BO45" s="1516">
        <f>_Fu_bau_mit_Mwst!BD45-Fu_bau_ohne_Mwst!BD45</f>
        <v>121.12108488125477</v>
      </c>
      <c r="BP45" s="1516">
        <f>_Fu_bau_mit_Mwst!BE45-Fu_bau_ohne_Mwst!BE45</f>
        <v>132.55079328125498</v>
      </c>
      <c r="BQ45" s="1516">
        <f>_Fu_bau_mit_Mwst!BF45-Fu_bau_ohne_Mwst!BF45</f>
        <v>138.2808975145881</v>
      </c>
      <c r="BR45" s="1516">
        <f>_Fu_bau_mit_Mwst!BG45-Fu_bau_ohne_Mwst!BG45</f>
        <v>186.88523389552915</v>
      </c>
      <c r="BS45" s="1516">
        <f>_Fu_bau_mit_Mwst!BH45-Fu_bau_ohne_Mwst!BH45</f>
        <v>203.28838971743153</v>
      </c>
      <c r="BT45" s="1516">
        <f>_Fu_bau_mit_Mwst!BI45-Fu_bau_ohne_Mwst!BI45</f>
        <v>218.87731637266756</v>
      </c>
      <c r="BU45" s="1516">
        <f>_Fu_bau_mit_Mwst!BJ45-Fu_bau_ohne_Mwst!BJ45</f>
        <v>132.26372465122517</v>
      </c>
      <c r="BV45" s="1516">
        <f>_Fu_bau_mit_Mwst!BK45-Fu_bau_ohne_Mwst!BK45</f>
        <v>136.65196005955841</v>
      </c>
      <c r="BW45" s="1516">
        <f>_Fu_bau_mit_Mwst!BL45-Fu_bau_ohne_Mwst!BL45</f>
        <v>141.04019546789186</v>
      </c>
      <c r="BX45" s="1516">
        <f>_Fu_bau_mit_Mwst!BM45-Fu_bau_ohne_Mwst!BM45</f>
        <v>237.42915939555905</v>
      </c>
      <c r="BY45" s="1516">
        <f>_Fu_bau_mit_Mwst!BN45-Fu_bau_ohne_Mwst!BN45</f>
        <v>251.41776064392798</v>
      </c>
      <c r="BZ45" s="1516">
        <f>_Fu_bau_mit_Mwst!BO45-Fu_bau_ohne_Mwst!BO45</f>
        <v>265.40636189229599</v>
      </c>
      <c r="CA45" s="1516">
        <f>_Fu_bau_mit_Mwst!BP45-Fu_bau_ohne_Mwst!BP45</f>
        <v>65.931298730769754</v>
      </c>
      <c r="CB45" s="1516">
        <f>_Fu_bau_mit_Mwst!BQ45-Fu_bau_ohne_Mwst!BQ45</f>
        <v>149.69829424130717</v>
      </c>
      <c r="CC45" s="1516">
        <f>_Fu_bau_mit_Mwst!BR45-Fu_bau_ohne_Mwst!BR45</f>
        <v>79.596554991107496</v>
      </c>
      <c r="CD45" s="1516">
        <f>_Fu_bau_mit_Mwst!BS45-Fu_bau_ohne_Mwst!BS45</f>
        <v>86.055615237272491</v>
      </c>
      <c r="CE45" s="1516">
        <f>_Fu_bau_mit_Mwst!BT45-Fu_bau_ohne_Mwst!BT45</f>
        <v>92.514675483437713</v>
      </c>
      <c r="CF45" s="1516">
        <f>_Fu_bau_mit_Mwst!BU45-Fu_bau_ohne_Mwst!BU45</f>
        <v>280.97800724701528</v>
      </c>
      <c r="CG45" s="1516">
        <f>_Fu_bau_mit_Mwst!BV45-Fu_bau_ohne_Mwst!BV45</f>
        <v>298.01849646534856</v>
      </c>
      <c r="CH45" s="1516">
        <f>_Fu_bau_mit_Mwst!BW45-Fu_bau_ohne_Mwst!BW45</f>
        <v>319.31647741116285</v>
      </c>
      <c r="CI45" s="1516">
        <f>_Fu_bau_mit_Mwst!BX45-Fu_bau_ohne_Mwst!BX45</f>
        <v>230.34143009447575</v>
      </c>
      <c r="CJ45" s="1516">
        <f>_Fu_bau_mit_Mwst!BY45-Fu_bau_ohne_Mwst!BY45</f>
        <v>253.96705585368045</v>
      </c>
      <c r="CK45" s="1516">
        <f>_Fu_bau_mit_Mwst!BZ45-Fu_bau_ohne_Mwst!BZ45</f>
        <v>277.59268161288492</v>
      </c>
      <c r="CL45" s="1516">
        <f>_Fu_bau_mit_Mwst!CA45-Fu_bau_ohne_Mwst!CA45</f>
        <v>205.48866763447177</v>
      </c>
      <c r="CM45" s="1516">
        <f>_Fu_bau_mit_Mwst!CB45-Fu_bau_ohne_Mwst!CB45</f>
        <v>221.57940195180208</v>
      </c>
      <c r="CN45" s="1516">
        <f>_Fu_bau_mit_Mwst!CC45-Fu_bau_ohne_Mwst!CC45</f>
        <v>237.6701362691324</v>
      </c>
      <c r="CO45" s="1516">
        <f>_Fu_bau_mit_Mwst!CD45-Fu_bau_ohne_Mwst!CD45</f>
        <v>205.7750521778089</v>
      </c>
      <c r="CP45" s="1516">
        <f>_Fu_bau_mit_Mwst!CE45-Fu_bau_ohne_Mwst!CE45</f>
        <v>226.88336872868013</v>
      </c>
      <c r="CQ45" s="1516">
        <f>_Fu_bau_mit_Mwst!CF45-Fu_bau_ohne_Mwst!CF45</f>
        <v>247.99168527955135</v>
      </c>
      <c r="CR45" s="1516">
        <f>_Fu_bau_mit_Mwst!CG45-Fu_bau_ohne_Mwst!CG45</f>
        <v>283.72196257617543</v>
      </c>
      <c r="CS45" s="1516">
        <f>_Fu_bau_mit_Mwst!CH45-Fu_bau_ohne_Mwst!CH45</f>
        <v>307.54387930393978</v>
      </c>
      <c r="CT45" s="1516">
        <f>_Fu_bau_mit_Mwst!CI45-Fu_bau_ohne_Mwst!CI45</f>
        <v>325.66619186503794</v>
      </c>
      <c r="CU45" s="1516">
        <f>_Fu_bau_mit_Mwst!CJ45-Fu_bau_ohne_Mwst!CJ45</f>
        <v>205.7750521778089</v>
      </c>
      <c r="CV45" s="1516">
        <f>_Fu_bau_mit_Mwst!CK45-Fu_bau_ohne_Mwst!CK45</f>
        <v>226.88336872868013</v>
      </c>
      <c r="CW45" s="1516">
        <f>_Fu_bau_mit_Mwst!CL45-Fu_bau_ohne_Mwst!CL45</f>
        <v>247.99168527955135</v>
      </c>
      <c r="CX45" s="1516">
        <f>_Fu_bau_mit_Mwst!CM45-Fu_bau_ohne_Mwst!CM45</f>
        <v>196.90846975158752</v>
      </c>
      <c r="CY45" s="1516">
        <f>_Fu_bau_mit_Mwst!CN45-Fu_bau_ohne_Mwst!CN45</f>
        <v>216.03008423313099</v>
      </c>
      <c r="CZ45" s="1516">
        <f>_Fu_bau_mit_Mwst!CO45-Fu_bau_ohne_Mwst!CO45</f>
        <v>235.15169871467469</v>
      </c>
      <c r="DA45" s="1516"/>
      <c r="DB45" s="1516"/>
      <c r="DC45" s="1516"/>
      <c r="DD45" s="1516"/>
      <c r="DE45" s="1516"/>
      <c r="DF45" s="1516"/>
      <c r="DG45" s="1516"/>
      <c r="DH45" s="1516"/>
      <c r="DI45" s="1516"/>
      <c r="DJ45" s="1516"/>
      <c r="DK45" s="1516"/>
      <c r="DL45" s="1516"/>
      <c r="DM45" s="1516"/>
      <c r="DN45" s="1516"/>
      <c r="DO45" s="1516"/>
      <c r="DP45" s="1516"/>
      <c r="DQ45" s="1516"/>
      <c r="DR45" s="1516"/>
      <c r="DS45" s="1516"/>
      <c r="DT45" s="1516"/>
    </row>
    <row r="46" spans="2:124" x14ac:dyDescent="0.2">
      <c r="B46" t="s">
        <v>1422</v>
      </c>
      <c r="D46" t="s">
        <v>1423</v>
      </c>
      <c r="E46" s="3589">
        <f>E45/Fu_bau_ohne_Mwst!E51</f>
        <v>0.28348045183170811</v>
      </c>
      <c r="AM46" s="3015"/>
    </row>
    <row r="47" spans="2:124" x14ac:dyDescent="0.2">
      <c r="B47" t="s">
        <v>1424</v>
      </c>
      <c r="D47" t="s">
        <v>1425</v>
      </c>
      <c r="AM47" s="3015"/>
    </row>
    <row r="48" spans="2:124" x14ac:dyDescent="0.2">
      <c r="D48" t="s">
        <v>1426</v>
      </c>
      <c r="AM48" s="3015"/>
    </row>
    <row r="49" spans="2:105" x14ac:dyDescent="0.2">
      <c r="D49" t="s">
        <v>1405</v>
      </c>
      <c r="AM49" s="3015"/>
    </row>
    <row r="50" spans="2:105" x14ac:dyDescent="0.2">
      <c r="D50" t="s">
        <v>1406</v>
      </c>
      <c r="AM50" s="3015"/>
    </row>
    <row r="51" spans="2:105" x14ac:dyDescent="0.2">
      <c r="B51" t="s">
        <v>1427</v>
      </c>
      <c r="D51" t="s">
        <v>1058</v>
      </c>
      <c r="AM51" s="3015"/>
    </row>
    <row r="52" spans="2:105" x14ac:dyDescent="0.2">
      <c r="B52" t="s">
        <v>1428</v>
      </c>
      <c r="D52" t="s">
        <v>1048</v>
      </c>
      <c r="E52" s="3696">
        <f>_Fu_bau_mit_Mwst!E52-Fu_bau_ohne_Mwst!E52</f>
        <v>3.2437213655848368E-2</v>
      </c>
      <c r="F52" s="3696">
        <f>_Fu_bau_mit_Mwst!F52-Fu_bau_ohne_Mwst!F52</f>
        <v>3.2124095644944006E-2</v>
      </c>
      <c r="G52" s="3696">
        <f>_Fu_bau_mit_Mwst!G52-Fu_bau_ohne_Mwst!G52</f>
        <v>3.0737517360038491E-2</v>
      </c>
      <c r="H52">
        <f>AVERAGE(E52:G52)</f>
        <v>3.1766275553610286E-2</v>
      </c>
      <c r="I52" s="3692">
        <f>_Fu_bau_mit_Mwst!H52-Fu_bau_ohne_Mwst!H52</f>
        <v>5.1327303768505084E-2</v>
      </c>
      <c r="J52" s="3692">
        <f>_Fu_bau_mit_Mwst!I52-Fu_bau_ohne_Mwst!I52</f>
        <v>4.046633565927954E-2</v>
      </c>
      <c r="K52" s="3692">
        <f>_Fu_bau_mit_Mwst!J52-Fu_bau_ohne_Mwst!J52</f>
        <v>4.7366966595397353E-2</v>
      </c>
      <c r="L52" s="3692">
        <f>_Fu_bau_mit_Mwst!K52-Fu_bau_ohne_Mwst!K52</f>
        <v>4.2014898019159141E-2</v>
      </c>
      <c r="M52" s="3692">
        <f>_Fu_bau_mit_Mwst!L52-Fu_bau_ohne_Mwst!L52</f>
        <v>4.7330835460691889E-2</v>
      </c>
      <c r="N52">
        <f>AVERAGE(I52:M52)</f>
        <v>4.57012679006066E-2</v>
      </c>
      <c r="O52">
        <f>_Fu_bau_mit_Mwst!M52-Fu_bau_ohne_Mwst!M52</f>
        <v>5.322116125056342E-2</v>
      </c>
      <c r="P52">
        <f>_Fu_bau_mit_Mwst!N52-Fu_bau_ohne_Mwst!N52</f>
        <v>4.7863597018325099E-2</v>
      </c>
      <c r="Q52">
        <f>AVERAGE(O52:P52)</f>
        <v>5.054237913444426E-2</v>
      </c>
      <c r="R52" s="3587">
        <f>_Fu_bau_mit_Mwst!O52-Fu_bau_ohne_Mwst!O52</f>
        <v>4.9974954833810648E-2</v>
      </c>
      <c r="S52" s="3695">
        <f>_Fu_bau_mit_Mwst!P52-Fu_bau_ohne_Mwst!P52</f>
        <v>3.3612839587037854E-2</v>
      </c>
      <c r="T52" s="3695">
        <f>_Fu_bau_mit_Mwst!Q52-Fu_bau_ohne_Mwst!Q52</f>
        <v>2.8647570013823592E-2</v>
      </c>
      <c r="U52" s="3695">
        <f>_Fu_bau_mit_Mwst!R52-Fu_bau_ohne_Mwst!R52</f>
        <v>2.6831429386945355E-2</v>
      </c>
      <c r="V52">
        <f>AVERAGE(S52:U52)</f>
        <v>2.9697279662602268E-2</v>
      </c>
      <c r="W52" s="3692">
        <f>_Fu_bau_mit_Mwst!S52-Fu_bau_ohne_Mwst!S52</f>
        <v>3.1158248476467226E-2</v>
      </c>
      <c r="X52" s="3692">
        <f>_Fu_bau_mit_Mwst!T52-Fu_bau_ohne_Mwst!T52</f>
        <v>2.8907030787328064E-2</v>
      </c>
      <c r="Y52" s="3692">
        <f>_Fu_bau_mit_Mwst!U52-Fu_bau_ohne_Mwst!U52</f>
        <v>2.7218617520473692E-2</v>
      </c>
      <c r="Z52">
        <f>AVERAGE(W52:Y52)</f>
        <v>2.9094632261422993E-2</v>
      </c>
      <c r="AA52" s="3696">
        <f>_Fu_bau_mit_Mwst!V52-Fu_bau_ohne_Mwst!V52</f>
        <v>3.1523650780472423E-2</v>
      </c>
      <c r="AB52" s="3696">
        <f>_Fu_bau_mit_Mwst!W52-Fu_bau_ohne_Mwst!W52</f>
        <v>2.8770865416255953E-2</v>
      </c>
      <c r="AC52" s="3696">
        <f>_Fu_bau_mit_Mwst!X52-Fu_bau_ohne_Mwst!X52</f>
        <v>2.6721573497565876E-2</v>
      </c>
      <c r="AD52">
        <f>AVERAGE(AA52:AC52)</f>
        <v>2.9005363231431418E-2</v>
      </c>
      <c r="AE52" s="3587">
        <f>_Fu_bau_mit_Mwst!Y52-Fu_bau_ohne_Mwst!Y52</f>
        <v>4.4164975298863651E-2</v>
      </c>
      <c r="AF52" s="3587">
        <f>_Fu_bau_mit_Mwst!Z52-Fu_bau_ohne_Mwst!Z52</f>
        <v>3.9604515023419051E-2</v>
      </c>
      <c r="AG52" s="3587">
        <f>_Fu_bau_mit_Mwst!AA52-Fu_bau_ohne_Mwst!AA52</f>
        <v>3.6447273294265004E-2</v>
      </c>
      <c r="AH52">
        <f>AVERAGE(AE52:AG52)</f>
        <v>4.0072254538849238E-2</v>
      </c>
      <c r="AI52" s="3696">
        <f>_Fu_bau_mit_Mwst!AB52-Fu_bau_ohne_Mwst!AB52</f>
        <v>4.3647342243025467E-2</v>
      </c>
      <c r="AJ52" s="3696">
        <f>_Fu_bau_mit_Mwst!AC52-Fu_bau_ohne_Mwst!AC52</f>
        <v>3.815670729113152E-2</v>
      </c>
      <c r="AK52" s="3696">
        <f>_Fu_bau_mit_Mwst!AD52-Fu_bau_ohne_Mwst!AD52</f>
        <v>3.4920775328193848E-2</v>
      </c>
      <c r="AL52">
        <f>AVERAGE(AI52:AK52)</f>
        <v>3.8908274954116945E-2</v>
      </c>
      <c r="AM52" s="3588">
        <f>AVERAGE(E52:AK52)</f>
        <v>3.7305386227115107E-2</v>
      </c>
      <c r="AN52" s="946">
        <f>_Fu_bau_mit_Mwst!AF52-Fu_bau_ohne_Mwst!AF52</f>
        <v>3.5007107985947139E-2</v>
      </c>
      <c r="AO52" s="946">
        <f>_Fu_bau_mit_Mwst!AG52-Fu_bau_ohne_Mwst!AG52</f>
        <v>3.1216240421162028E-2</v>
      </c>
      <c r="AP52" s="946">
        <f>_Fu_bau_mit_Mwst!AH52-Fu_bau_ohne_Mwst!AH52</f>
        <v>2.8432543718574399E-2</v>
      </c>
      <c r="AQ52">
        <f>_Fu_bau_mit_Mwst!AI52-Fu_bau_ohne_Mwst!AI52</f>
        <v>3.267399775141247E-2</v>
      </c>
      <c r="AR52">
        <f>_Fu_bau_mit_Mwst!AJ52-Fu_bau_ohne_Mwst!AJ52</f>
        <v>2.8754223420913216E-2</v>
      </c>
      <c r="AS52">
        <f>_Fu_bau_mit_Mwst!AK52-Fu_bau_ohne_Mwst!AK52</f>
        <v>2.6336778414907475E-2</v>
      </c>
      <c r="AT52">
        <f>AVERAGE(AQ52:AS52)</f>
        <v>2.9254999862411053E-2</v>
      </c>
    </row>
    <row r="53" spans="2:105" x14ac:dyDescent="0.2">
      <c r="B53" t="s">
        <v>1429</v>
      </c>
      <c r="D53" t="s">
        <v>1430</v>
      </c>
    </row>
    <row r="54" spans="2:105" x14ac:dyDescent="0.2">
      <c r="B54" s="1515" t="s">
        <v>1431</v>
      </c>
      <c r="D54" t="s">
        <v>1058</v>
      </c>
    </row>
    <row r="55" spans="2:105" x14ac:dyDescent="0.2">
      <c r="B55" s="1515" t="s">
        <v>1432</v>
      </c>
      <c r="D55" t="s">
        <v>1433</v>
      </c>
      <c r="AU55" s="946">
        <f>_Fu_bau_mit_Mwst!AL55-Fu_bau_ohne_Mwst!AL55</f>
        <v>2.3656777107658039E-2</v>
      </c>
      <c r="AV55" s="946">
        <f>_Fu_bau_mit_Mwst!AM55-Fu_bau_ohne_Mwst!AM55</f>
        <v>2.1467034830966347E-2</v>
      </c>
      <c r="AW55" s="946">
        <f>_Fu_bau_mit_Mwst!AN55-Fu_bau_ohne_Mwst!AN55</f>
        <v>1.9839261770064037E-2</v>
      </c>
      <c r="AX55">
        <f>_Fu_bau_mit_Mwst!AO55-Fu_bau_ohne_Mwst!AO55</f>
        <v>3.93112204399933E-2</v>
      </c>
      <c r="AY55">
        <f>_Fu_bau_mit_Mwst!AP55-Fu_bau_ohne_Mwst!AP55</f>
        <v>3.6343828485469715E-2</v>
      </c>
      <c r="AZ55">
        <f>_Fu_bau_mit_Mwst!AQ55-Fu_bau_ohne_Mwst!AQ55</f>
        <v>3.3753310795011482E-2</v>
      </c>
      <c r="BA55"/>
      <c r="BB55" s="946">
        <f>_Fu_bau_mit_Mwst!AR55-Fu_bau_ohne_Mwst!AR55</f>
        <v>3.1518464330519969E-2</v>
      </c>
      <c r="BC55" s="946">
        <f>_Fu_bau_mit_Mwst!AS55-Fu_bau_ohne_Mwst!AS55</f>
        <v>2.8864020811331881E-2</v>
      </c>
      <c r="BD55" s="946">
        <f>_Fu_bau_mit_Mwst!AT55-Fu_bau_ohne_Mwst!AT55</f>
        <v>2.682214118118717E-2</v>
      </c>
      <c r="BE55">
        <f>_Fu_bau_mit_Mwst!AU55-Fu_bau_ohne_Mwst!AU55</f>
        <v>3.2712460837873353E-2</v>
      </c>
      <c r="BF55">
        <f>_Fu_bau_mit_Mwst!AV55-Fu_bau_ohne_Mwst!AV55</f>
        <v>2.9635663312075955E-2</v>
      </c>
      <c r="BG55">
        <f>_Fu_bau_mit_Mwst!AW55-Fu_bau_ohne_Mwst!AW55</f>
        <v>2.73280651677279E-2</v>
      </c>
      <c r="BH55"/>
      <c r="BI55" s="946">
        <f>_Fu_bau_mit_Mwst!AX55-Fu_bau_ohne_Mwst!AX55</f>
        <v>3.9497431719287712E-2</v>
      </c>
      <c r="BJ55" s="946">
        <f>_Fu_bau_mit_Mwst!AY55-Fu_bau_ohne_Mwst!AY55</f>
        <v>3.3048926986824739E-2</v>
      </c>
      <c r="BK55" s="946">
        <f>_Fu_bau_mit_Mwst!AZ55-Fu_bau_ohne_Mwst!AZ55</f>
        <v>2.8749923831849378E-2</v>
      </c>
      <c r="BL55" s="946">
        <f>_Fu_bau_mit_Mwst!BA55-Fu_bau_ohne_Mwst!BA55</f>
        <v>5.4438179374890761E-2</v>
      </c>
      <c r="BM55" s="946">
        <f>_Fu_bau_mit_Mwst!BB55-Fu_bau_ohne_Mwst!BB55</f>
        <v>4.6343864893028108E-2</v>
      </c>
      <c r="BN55" s="946">
        <f>_Fu_bau_mit_Mwst!BC55-Fu_bau_ohne_Mwst!BC55</f>
        <v>4.0940333629094772E-2</v>
      </c>
      <c r="BO55" s="946">
        <f>_Fu_bau_mit_Mwst!BD55-Fu_bau_ohne_Mwst!BD55</f>
        <v>4.3365945177678E-2</v>
      </c>
      <c r="BP55" s="946">
        <f>_Fu_bau_mit_Mwst!BE55-Fu_bau_ohne_Mwst!BE55</f>
        <v>3.9548512137861036E-2</v>
      </c>
      <c r="BQ55" s="946">
        <f>_Fu_bau_mit_Mwst!BF55-Fu_bau_ohne_Mwst!BF55</f>
        <v>3.5364149535724004E-2</v>
      </c>
      <c r="BR55" s="946">
        <f>_Fu_bau_mit_Mwst!BG55-Fu_bau_ohne_Mwst!BG55</f>
        <v>6.0449421373265033E-2</v>
      </c>
      <c r="BS55" s="946">
        <f>_Fu_bau_mit_Mwst!BH55-Fu_bau_ohne_Mwst!BH55</f>
        <v>5.4191547236374094E-2</v>
      </c>
      <c r="BT55" s="946">
        <f>_Fu_bau_mit_Mwst!BI55-Fu_bau_ohne_Mwst!BI55</f>
        <v>4.9513405036230251E-2</v>
      </c>
      <c r="BU55" s="946">
        <f>_Fu_bau_mit_Mwst!BJ55-Fu_bau_ohne_Mwst!BJ55</f>
        <v>5.7357958767799255E-2</v>
      </c>
      <c r="BV55" s="946">
        <f>_Fu_bau_mit_Mwst!BK55-Fu_bau_ohne_Mwst!BK55</f>
        <v>4.8486253575941551E-2</v>
      </c>
      <c r="BW55" s="946">
        <f>_Fu_bau_mit_Mwst!BL55-Fu_bau_ohne_Mwst!BL55</f>
        <v>4.234430382773241E-2</v>
      </c>
      <c r="BX55" s="946">
        <f>_Fu_bau_mit_Mwst!BM55-Fu_bau_ohne_Mwst!BM55</f>
        <v>8.5302558693227559E-2</v>
      </c>
      <c r="BY55" s="946">
        <f>_Fu_bau_mit_Mwst!BN55-Fu_bau_ohne_Mwst!BN55</f>
        <v>7.4407662274613373E-2</v>
      </c>
      <c r="BZ55" s="946">
        <f>_Fu_bau_mit_Mwst!BO55-Fu_bau_ohne_Mwst!BO55</f>
        <v>6.6625593404174455E-2</v>
      </c>
      <c r="CA55" s="946">
        <f>_Fu_bau_mit_Mwst!BP55-Fu_bau_ohne_Mwst!BP55</f>
        <v>3.4310402711665217E-2</v>
      </c>
      <c r="CB55" s="946">
        <f>_Fu_bau_mit_Mwst!BQ55-Fu_bau_ohne_Mwst!BQ55</f>
        <v>7.027049899046095E-2</v>
      </c>
      <c r="CC55" s="946">
        <f>_Fu_bau_mit_Mwst!BR55-Fu_bau_ohne_Mwst!BR55</f>
        <v>6.2132626888439346E-2</v>
      </c>
      <c r="CD55" s="946">
        <f>_Fu_bau_mit_Mwst!BS55-Fu_bau_ohne_Mwst!BS55</f>
        <v>5.5978777743478758E-2</v>
      </c>
      <c r="CE55" s="946">
        <f>_Fu_bau_mit_Mwst!BT55-Fu_bau_ohne_Mwst!BT55</f>
        <v>5.1583171211364187E-2</v>
      </c>
      <c r="CF55" s="946">
        <f>_Fu_bau_mit_Mwst!BU55-Fu_bau_ohne_Mwst!BU55</f>
        <v>5.5593561402532521E-2</v>
      </c>
      <c r="CG55" s="946">
        <f>_Fu_bau_mit_Mwst!BV55-Fu_bau_ohne_Mwst!BV55</f>
        <v>5.1828667398384265E-2</v>
      </c>
      <c r="CH55" s="946">
        <f>_Fu_bau_mit_Mwst!BW55-Fu_bau_ohne_Mwst!BW55</f>
        <v>4.7411392591287516E-2</v>
      </c>
      <c r="CI55" s="946">
        <f>_Fu_bau_mit_Mwst!BX55-Fu_bau_ohne_Mwst!BX55</f>
        <v>8.4394184859827193E-2</v>
      </c>
      <c r="CJ55" s="946">
        <f>_Fu_bau_mit_Mwst!BY55-Fu_bau_ohne_Mwst!BY55</f>
        <v>8.4394184859827193E-2</v>
      </c>
      <c r="CK55" s="946">
        <f>_Fu_bau_mit_Mwst!BZ55-Fu_bau_ohne_Mwst!BZ55</f>
        <v>8.4394184859827193E-2</v>
      </c>
      <c r="CL55" s="946">
        <f>_Fu_bau_mit_Mwst!CA55-Fu_bau_ohne_Mwst!CA55</f>
        <v>9.7841428050510215E-2</v>
      </c>
      <c r="CM55" s="946">
        <f>_Fu_bau_mit_Mwst!CB55-Fu_bau_ohne_Mwst!CB55</f>
        <v>9.7841428050510215E-2</v>
      </c>
      <c r="CN55" s="946">
        <f>_Fu_bau_mit_Mwst!CC55-Fu_bau_ohne_Mwst!CC55</f>
        <v>9.7841428050510215E-2</v>
      </c>
      <c r="CO55" s="946">
        <f>_Fu_bau_mit_Mwst!CD55-Fu_bau_ohne_Mwst!CD55</f>
        <v>7.4463560752515812E-2</v>
      </c>
      <c r="CP55" s="946">
        <f>_Fu_bau_mit_Mwst!CE55-Fu_bau_ohne_Mwst!CE55</f>
        <v>7.4463560752515812E-2</v>
      </c>
      <c r="CQ55" s="946">
        <f>_Fu_bau_mit_Mwst!CF55-Fu_bau_ohne_Mwst!CF55</f>
        <v>7.4463560752515812E-2</v>
      </c>
      <c r="CR55" s="946">
        <f>_Fu_bau_mit_Mwst!CG55-Fu_bau_ohne_Mwst!CG55</f>
        <v>5.3916966312205328E-2</v>
      </c>
      <c r="CS55" s="946">
        <f>_Fu_bau_mit_Mwst!CH55-Fu_bau_ohne_Mwst!CH55</f>
        <v>5.2413786213323599E-2</v>
      </c>
      <c r="CT55" s="946">
        <f>_Fu_bau_mit_Mwst!CI55-Fu_bau_ohne_Mwst!CI55</f>
        <v>5.0172757217913921E-2</v>
      </c>
      <c r="CU55" s="946">
        <f>_Fu_bau_mit_Mwst!CJ55-Fu_bau_ohne_Mwst!CJ55</f>
        <v>7.4463560752515812E-2</v>
      </c>
      <c r="CV55" s="946">
        <f>_Fu_bau_mit_Mwst!CK55-Fu_bau_ohne_Mwst!CK55</f>
        <v>6.1831422372299938E-2</v>
      </c>
      <c r="CW55" s="946">
        <f>_Fu_bau_mit_Mwst!CL55-Fu_bau_ohne_Mwst!CL55</f>
        <v>5.3936335884664954E-2</v>
      </c>
      <c r="CX55" s="946">
        <f>_Fu_bau_mit_Mwst!CM55-Fu_bau_ohne_Mwst!CM55</f>
        <v>8.917597592400206E-2</v>
      </c>
      <c r="CY55" s="946">
        <f>_Fu_bau_mit_Mwst!CN55-Fu_bau_ohne_Mwst!CN55</f>
        <v>7.3601142850009516E-2</v>
      </c>
      <c r="CZ55" s="946">
        <f>_Fu_bau_mit_Mwst!CO55-Fu_bau_ohne_Mwst!CO55</f>
        <v>6.38668721787643E-2</v>
      </c>
    </row>
    <row r="56" spans="2:105" x14ac:dyDescent="0.2">
      <c r="D56" t="s">
        <v>1406</v>
      </c>
      <c r="AM56" s="3015"/>
    </row>
    <row r="57" spans="2:105" x14ac:dyDescent="0.2">
      <c r="B57" t="s">
        <v>591</v>
      </c>
      <c r="D57" t="s">
        <v>1058</v>
      </c>
    </row>
    <row r="58" spans="2:105" x14ac:dyDescent="0.2">
      <c r="D58" t="s">
        <v>1058</v>
      </c>
    </row>
    <row r="59" spans="2:105" x14ac:dyDescent="0.2">
      <c r="B59" t="s">
        <v>1434</v>
      </c>
      <c r="D59" t="s">
        <v>1058</v>
      </c>
    </row>
    <row r="60" spans="2:105" x14ac:dyDescent="0.2">
      <c r="B60" t="s">
        <v>1435</v>
      </c>
    </row>
    <row r="62" spans="2:105" ht="15" x14ac:dyDescent="0.25">
      <c r="E62" s="3697">
        <f>E52/Fu_bau_ohne_Mwst!E55</f>
        <v>0.28348045183170817</v>
      </c>
      <c r="F62" s="3697">
        <f>F52/Fu_bau_ohne_Mwst!F55</f>
        <v>0.17865170105057465</v>
      </c>
      <c r="G62" s="3697">
        <f>G52/Fu_bau_ohne_Mwst!G55</f>
        <v>0.16850384805031016</v>
      </c>
      <c r="H62" s="3697"/>
      <c r="I62" s="3693">
        <f>I52/Fu_bau_ohne_Mwst!H55</f>
        <v>0.19437543491324769</v>
      </c>
      <c r="J62" s="3693">
        <f>J52/Fu_bau_ohne_Mwst!I55</f>
        <v>0.14677400968648055</v>
      </c>
      <c r="K62" s="3693">
        <f>K52/Fu_bau_ohne_Mwst!J55</f>
        <v>0.17372098296771776</v>
      </c>
      <c r="L62" s="3693">
        <f>L52/Fu_bau_ohne_Mwst!K55</f>
        <v>0.1651380649391879</v>
      </c>
      <c r="M62" s="3693">
        <f>M52/Fu_bau_ohne_Mwst!L55</f>
        <v>0.14592736575595566</v>
      </c>
      <c r="N62" s="3693"/>
      <c r="O62">
        <f>O52/Fu_bau_ohne_Mwst!M55</f>
        <v>0.27792129534529175</v>
      </c>
      <c r="P62">
        <f>P52/Fu_bau_ohne_Mwst!N55</f>
        <v>0.19396594327904007</v>
      </c>
      <c r="R62" s="3584">
        <f>R52/Fu_bau_ohne_Mwst!O55</f>
        <v>0.11009829564070205</v>
      </c>
      <c r="S62" s="3697">
        <f>S52/Fu_bau_ohne_Mwst!P55</f>
        <v>0.29058156767547155</v>
      </c>
      <c r="T62" s="3697">
        <f>T52/Fu_bau_ohne_Mwst!Q55</f>
        <v>0.19587371509724438</v>
      </c>
      <c r="U62" s="3697">
        <f>U52/Fu_bau_ohne_Mwst!R55</f>
        <v>0.18180337737935004</v>
      </c>
      <c r="V62" s="3697"/>
      <c r="W62" s="3693">
        <f>W52/Fu_bau_ohne_Mwst!S55</f>
        <v>0.15362805360525036</v>
      </c>
      <c r="X62" s="3693">
        <f>X52/Fu_bau_ohne_Mwst!T55</f>
        <v>0.14835766930946226</v>
      </c>
      <c r="Y62" s="3693">
        <f>Y52/Fu_bau_ohne_Mwst!U55</f>
        <v>0.14555369165271595</v>
      </c>
      <c r="Z62" s="3693"/>
      <c r="AA62" s="3697">
        <f>AA52/Fu_bau_ohne_Mwst!V55</f>
        <v>0.1557164168384684</v>
      </c>
      <c r="AB62" s="3697">
        <f>AB52/Fu_bau_ohne_Mwst!W55</f>
        <v>0.1503106355482374</v>
      </c>
      <c r="AC62" s="3697">
        <f>AC52/Fu_bau_ohne_Mwst!X55</f>
        <v>0.14752404838302413</v>
      </c>
      <c r="AD62" s="3697"/>
      <c r="AE62" s="3584">
        <f>AE52/Fu_bau_ohne_Mwst!Y55</f>
        <v>0.15065658780853353</v>
      </c>
      <c r="AF62" s="3584">
        <f>AF52/Fu_bau_ohne_Mwst!Z55</f>
        <v>0.14701569448393687</v>
      </c>
      <c r="AG62" s="3584">
        <f>AG52/Fu_bau_ohne_Mwst!AA55</f>
        <v>0.14590197735642998</v>
      </c>
      <c r="AH62" s="3584"/>
      <c r="AI62" s="3697">
        <f>AI52/Fu_bau_ohne_Mwst!AB55</f>
        <v>0.15224663718976378</v>
      </c>
      <c r="AJ62" s="3697">
        <f>AJ52/Fu_bau_ohne_Mwst!AC55</f>
        <v>0.14818500242779706</v>
      </c>
      <c r="AK62" s="3697">
        <f>AK52/Fu_bau_ohne_Mwst!AD55</f>
        <v>0.14495101046760531</v>
      </c>
      <c r="AL62" s="3697"/>
      <c r="AM62" s="3585">
        <f>AVERAGE(E62:AK62)</f>
        <v>0.17295628764167337</v>
      </c>
      <c r="AN62" s="3584">
        <f>AN52/Fu_bau_ohne_Mwst!AF55</f>
        <v>0.14780914913682669</v>
      </c>
      <c r="AO62" s="3584">
        <f>AO52/Fu_bau_ohne_Mwst!AG55</f>
        <v>0.14777685380533037</v>
      </c>
      <c r="AP62" s="3584">
        <f>AP52/Fu_bau_ohne_Mwst!AH55</f>
        <v>0.15017690829296212</v>
      </c>
      <c r="AQ62" s="3697">
        <f>AQ52/Fu_bau_ohne_Mwst!AI55</f>
        <v>0.14716358688797046</v>
      </c>
      <c r="AR62" s="3697">
        <f>AR52/Fu_bau_ohne_Mwst!AJ55</f>
        <v>0.1470773932539654</v>
      </c>
      <c r="AS62" s="3697">
        <f>AS52/Fu_bau_ohne_Mwst!AK55</f>
        <v>0.14703340436672974</v>
      </c>
      <c r="AT62" s="3697"/>
      <c r="AU62" s="3584">
        <f>AU55/Fu_bau_ohne_Mwst!AL55</f>
        <v>0.11507531131870598</v>
      </c>
      <c r="AV62" s="3584">
        <f>AV55/Fu_bau_ohne_Mwst!AM55</f>
        <v>0.1191509121940468</v>
      </c>
      <c r="AW62" s="3584">
        <f>AW55/Fu_bau_ohne_Mwst!AN55</f>
        <v>0.12304027484304321</v>
      </c>
      <c r="AX62" s="3697">
        <f>AX55/Fu_bau_ohne_Mwst!AO55</f>
        <v>0.14698681102471792</v>
      </c>
      <c r="AY62" s="3697">
        <f>AY55/Fu_bau_ohne_Mwst!AP55</f>
        <v>0.14850166841782095</v>
      </c>
      <c r="AZ62" s="3697">
        <f>AZ55/Fu_bau_ohne_Mwst!AQ55</f>
        <v>0.14900508557282682</v>
      </c>
      <c r="BA62" s="3697"/>
      <c r="BB62" s="3584">
        <f>BB55/Fu_bau_ohne_Mwst!AR55</f>
        <v>0.14904663337358631</v>
      </c>
      <c r="BC62" s="3584">
        <f>BC55/Fu_bau_ohne_Mwst!AS55</f>
        <v>0.14932344627506738</v>
      </c>
      <c r="BD62" s="3584">
        <f>BD55/Fu_bau_ohne_Mwst!AT55</f>
        <v>0.14957454823897126</v>
      </c>
      <c r="BE62" s="3697">
        <f>BE55/Fu_bau_ohne_Mwst!AU55</f>
        <v>0.14776508599967778</v>
      </c>
      <c r="BF62" s="3697">
        <f>BF55/Fu_bau_ohne_Mwst!AV55</f>
        <v>0.14779333251570964</v>
      </c>
      <c r="BG62" s="3697">
        <f>BG55/Fu_bau_ohne_Mwst!AW55</f>
        <v>0.14781870062107572</v>
      </c>
      <c r="BH62" s="3697"/>
      <c r="BI62" s="3584">
        <f>BI55/Fu_bau_ohne_Mwst!AX55</f>
        <v>0.13860951500681512</v>
      </c>
      <c r="BJ62" s="3584">
        <f>BJ55/Fu_bau_ohne_Mwst!AY55</f>
        <v>0.13966558235485094</v>
      </c>
      <c r="BK62" s="3584">
        <f>BK55/Fu_bau_ohne_Mwst!AZ55</f>
        <v>0.14064703659760802</v>
      </c>
      <c r="BL62" s="3584">
        <f>BL55/Fu_bau_ohne_Mwst!BA55</f>
        <v>0.13738535014575848</v>
      </c>
      <c r="BM62" s="3584">
        <f>BM55/Fu_bau_ohne_Mwst!BB55</f>
        <v>0.1365850193377767</v>
      </c>
      <c r="BN62" s="3584">
        <f>BN55/Fu_bau_ohne_Mwst!BC55</f>
        <v>0.13591228583939161</v>
      </c>
      <c r="BO62" s="3584">
        <f>BO55/Fu_bau_ohne_Mwst!BD55</f>
        <v>0.14364637771802194</v>
      </c>
      <c r="BP62" s="3584">
        <f>BP55/Fu_bau_ohne_Mwst!BE55</f>
        <v>0.14640456674489383</v>
      </c>
      <c r="BQ62" s="3584">
        <f>BQ55/Fu_bau_ohne_Mwst!BF55</f>
        <v>0.14749026126787509</v>
      </c>
      <c r="BR62" s="3584">
        <f>BR55/Fu_bau_ohne_Mwst!BG55</f>
        <v>0.14235196432111202</v>
      </c>
      <c r="BS62" s="3584">
        <f>BS55/Fu_bau_ohne_Mwst!BH55</f>
        <v>0.14259390994035623</v>
      </c>
      <c r="BT62" s="3584">
        <f>BT55/Fu_bau_ohne_Mwst!BI55</f>
        <v>0.14265565814290251</v>
      </c>
      <c r="BU62" s="3584">
        <f>BU55/Fu_bau_ohne_Mwst!BJ55</f>
        <v>0.16496672938790605</v>
      </c>
      <c r="BV62" s="3584">
        <f>BV55/Fu_bau_ohne_Mwst!BK55</f>
        <v>0.15985378147445692</v>
      </c>
      <c r="BW62" s="3584">
        <f>BW55/Fu_bau_ohne_Mwst!BL55</f>
        <v>0.15759527144951649</v>
      </c>
      <c r="BX62" s="3584">
        <f>BX55/Fu_bau_ohne_Mwst!BM55</f>
        <v>0.14946482441434719</v>
      </c>
      <c r="BY62" s="3584">
        <f>BY55/Fu_bau_ohne_Mwst!BN55</f>
        <v>0.14620278621907024</v>
      </c>
      <c r="BZ62" s="3584">
        <f>BZ55/Fu_bau_ohne_Mwst!BO55</f>
        <v>0.14476823176321088</v>
      </c>
      <c r="CA62" s="3584">
        <f>CA55/Fu_bau_ohne_Mwst!BP55</f>
        <v>0.23288436295649137</v>
      </c>
      <c r="CB62" s="3584">
        <f>CB55/Fu_bau_ohne_Mwst!BQ55</f>
        <v>0.1669728130546432</v>
      </c>
      <c r="CC62" s="3584">
        <f>CC55/Fu_bau_ohne_Mwst!BR55</f>
        <v>0.12133630201811964</v>
      </c>
      <c r="CD62" s="3584">
        <f>CD55/Fu_bau_ohne_Mwst!BS55</f>
        <v>0.12226526118399887</v>
      </c>
      <c r="CE62" s="3584">
        <f>CE55/Fu_bau_ohne_Mwst!BT55</f>
        <v>0.12307596602133099</v>
      </c>
      <c r="CF62" s="3584">
        <f>CF55/Fu_bau_ohne_Mwst!BU55</f>
        <v>0.13363351629237569</v>
      </c>
      <c r="CG62" s="3584">
        <f>CG55/Fu_bau_ohne_Mwst!BV55</f>
        <v>0.13417898991033769</v>
      </c>
      <c r="CH62" s="3584">
        <f>CH55/Fu_bau_ohne_Mwst!BW55</f>
        <v>0.13506070293891287</v>
      </c>
      <c r="CI62" s="3584">
        <f>CI55/Fu_bau_ohne_Mwst!BX55</f>
        <v>0.14732716134241267</v>
      </c>
      <c r="CJ62" s="3584">
        <f>CJ55/Fu_bau_ohne_Mwst!BY55</f>
        <v>0.14732716134241267</v>
      </c>
      <c r="CK62" s="3584">
        <f>CK55/Fu_bau_ohne_Mwst!BZ55</f>
        <v>0.14732716134241267</v>
      </c>
      <c r="CL62" s="3584">
        <f>CL55/Fu_bau_ohne_Mwst!CA55</f>
        <v>0.14250893963696382</v>
      </c>
      <c r="CM62" s="3584">
        <f>CM55/Fu_bau_ohne_Mwst!CB55</f>
        <v>0.14250893963696382</v>
      </c>
      <c r="CN62" s="3584">
        <f>CN55/Fu_bau_ohne_Mwst!CC55</f>
        <v>0.14250893963696382</v>
      </c>
      <c r="CO62" s="3584">
        <f>CO55/Fu_bau_ohne_Mwst!CD55</f>
        <v>0.13994906593523671</v>
      </c>
      <c r="CP62" s="3584">
        <f>CP55/Fu_bau_ohne_Mwst!CE55</f>
        <v>0.13994906593523671</v>
      </c>
      <c r="CQ62" s="3584">
        <f>CQ55/Fu_bau_ohne_Mwst!CF55</f>
        <v>0.13994906593523671</v>
      </c>
      <c r="CR62" s="3584">
        <f>CR55/Fu_bau_ohne_Mwst!CG55</f>
        <v>0.13853082434371705</v>
      </c>
      <c r="CS62" s="3584">
        <f>CS55/Fu_bau_ohne_Mwst!CH55</f>
        <v>0.14010306281406601</v>
      </c>
      <c r="CT62" s="3584">
        <f>CT55/Fu_bau_ohne_Mwst!CI55</f>
        <v>0.14103226958617235</v>
      </c>
      <c r="CU62" s="3584">
        <f>CU55/Fu_bau_ohne_Mwst!CJ55</f>
        <v>0.13994906593523671</v>
      </c>
      <c r="CV62" s="3584">
        <f>CV55/Fu_bau_ohne_Mwst!CK55</f>
        <v>0.13886338537105283</v>
      </c>
      <c r="CW62" s="3584">
        <f>CW55/Fu_bau_ohne_Mwst!CL55</f>
        <v>0.13794003871663524</v>
      </c>
      <c r="CX62" s="3584">
        <f>CX55/Fu_bau_ohne_Mwst!CM55</f>
        <v>0.12673266831999511</v>
      </c>
      <c r="CY62" s="3584">
        <f>CY55/Fu_bau_ohne_Mwst!CN55</f>
        <v>0.12649335889129898</v>
      </c>
      <c r="CZ62" s="3584">
        <f>CZ55/Fu_bau_ohne_Mwst!CO55</f>
        <v>0.12628525695363033</v>
      </c>
      <c r="DA62" s="3586">
        <f>AVERAGE(AN62:CZ62)</f>
        <v>0.14309050974704457</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3" tint="0.39997558519241921"/>
    <pageSetUpPr fitToPage="1"/>
  </sheetPr>
  <dimension ref="A1:DP238"/>
  <sheetViews>
    <sheetView showGridLines="0" zoomScaleNormal="100" zoomScaleSheetLayoutView="66" workbookViewId="0">
      <pane ySplit="1" topLeftCell="A2" activePane="bottomLeft" state="frozen"/>
      <selection activeCell="N4" sqref="N4"/>
      <selection pane="bottomLeft"/>
    </sheetView>
  </sheetViews>
  <sheetFormatPr baseColWidth="10" defaultColWidth="11.5703125" defaultRowHeight="12.75" x14ac:dyDescent="0.2"/>
  <cols>
    <col min="1" max="1" width="1.5703125" style="170" customWidth="1"/>
    <col min="2" max="2" width="5.140625" style="170" customWidth="1"/>
    <col min="3" max="15" width="2.140625" style="170" customWidth="1"/>
    <col min="16" max="16" width="3.7109375" style="170" customWidth="1"/>
    <col min="17" max="34" width="2.140625" style="170" customWidth="1"/>
    <col min="35" max="35" width="3.7109375" style="170" customWidth="1"/>
    <col min="36" max="51" width="2.140625" style="170" customWidth="1"/>
    <col min="52" max="52" width="2.28515625" style="170" customWidth="1"/>
    <col min="53" max="53" width="2.140625" style="170" customWidth="1"/>
    <col min="54" max="54" width="2.5703125" style="170" customWidth="1"/>
    <col min="55" max="55" width="2.28515625" style="170" customWidth="1"/>
    <col min="56" max="56" width="2.140625" style="170" customWidth="1"/>
    <col min="57" max="57" width="2.5703125" style="170" customWidth="1"/>
    <col min="58" max="58" width="2.140625" customWidth="1"/>
    <col min="59" max="120" width="11.42578125" customWidth="1"/>
    <col min="121" max="16384" width="11.5703125" style="170"/>
  </cols>
  <sheetData>
    <row r="1" spans="1:120" ht="22.15" customHeight="1" x14ac:dyDescent="0.2">
      <c r="A1" s="2503"/>
      <c r="B1" s="2503"/>
      <c r="C1" s="2503"/>
      <c r="D1" s="2503"/>
      <c r="E1" s="2503"/>
      <c r="F1" s="2503"/>
      <c r="G1" s="2503"/>
      <c r="H1" s="2503"/>
      <c r="I1" s="2503"/>
      <c r="J1" s="2503"/>
      <c r="K1" s="2503"/>
      <c r="L1" s="2503"/>
      <c r="M1" s="2503"/>
      <c r="N1" s="2503"/>
      <c r="O1" s="2503"/>
      <c r="P1" s="2503"/>
      <c r="Q1" s="2503"/>
      <c r="R1" s="2503"/>
      <c r="S1" s="2503"/>
      <c r="T1" s="2503"/>
      <c r="U1" s="2503"/>
      <c r="V1" s="2503"/>
      <c r="W1" s="2503"/>
      <c r="X1" s="2503"/>
      <c r="Y1" s="2503"/>
      <c r="Z1" s="2503"/>
      <c r="AA1" s="2503"/>
      <c r="AB1" s="2503"/>
      <c r="AC1" s="2503"/>
      <c r="AD1" s="2503"/>
      <c r="AE1" s="2503"/>
      <c r="AF1" s="2503"/>
      <c r="AG1" s="2503"/>
      <c r="AH1" s="2503"/>
      <c r="AI1" s="2503"/>
      <c r="AJ1" s="2503"/>
      <c r="AK1" s="2503"/>
      <c r="AL1" s="2503"/>
      <c r="AM1" s="2503"/>
      <c r="AN1" s="2503"/>
      <c r="AO1" s="2503"/>
      <c r="AP1" s="2503"/>
      <c r="AQ1" s="2503"/>
      <c r="AR1" s="2503"/>
      <c r="AS1" s="2503"/>
      <c r="AT1" s="2503"/>
      <c r="AU1" s="2503"/>
      <c r="AV1" s="2503"/>
      <c r="AW1" s="2503"/>
      <c r="AX1" s="2503"/>
      <c r="AY1" s="2503"/>
      <c r="AZ1" s="2503"/>
      <c r="BA1" s="2503"/>
      <c r="BB1" s="2503"/>
      <c r="BC1" s="2503"/>
      <c r="BD1" s="2503"/>
      <c r="BE1" s="2503"/>
    </row>
    <row r="2" spans="1:120" ht="6.6" customHeight="1" x14ac:dyDescent="0.2">
      <c r="A2" s="2503"/>
      <c r="BE2" s="2503"/>
    </row>
    <row r="3" spans="1:120" s="168" customFormat="1" ht="26.45" customHeight="1" x14ac:dyDescent="0.2">
      <c r="A3" s="2503"/>
      <c r="B3" s="629" t="s">
        <v>435</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29"/>
      <c r="AZ3" s="629"/>
      <c r="BA3" s="629"/>
      <c r="BB3" s="629"/>
      <c r="BC3" s="629"/>
      <c r="BD3" s="629"/>
      <c r="BE3" s="250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row>
    <row r="4" spans="1:120" s="168" customFormat="1" ht="8.4499999999999993" customHeight="1" x14ac:dyDescent="0.2">
      <c r="A4" s="2503"/>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03"/>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row>
    <row r="5" spans="1:120" s="168" customFormat="1" ht="5.45" customHeight="1" x14ac:dyDescent="0.2">
      <c r="A5" s="2503"/>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03"/>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row>
    <row r="6" spans="1:120" customFormat="1" x14ac:dyDescent="0.2">
      <c r="A6" s="2503"/>
      <c r="B6" s="170"/>
      <c r="BE6" s="2503"/>
    </row>
    <row r="7" spans="1:120" customFormat="1" ht="18" x14ac:dyDescent="0.25">
      <c r="A7" s="2503"/>
      <c r="B7" s="594" t="s">
        <v>931</v>
      </c>
      <c r="BE7" s="2503"/>
    </row>
    <row r="8" spans="1:120" customFormat="1" x14ac:dyDescent="0.2">
      <c r="A8" s="2503"/>
      <c r="BE8" s="2503"/>
    </row>
    <row r="9" spans="1:120" customFormat="1" ht="12.75" customHeight="1" x14ac:dyDescent="0.2">
      <c r="A9" s="2503"/>
      <c r="B9" s="988" t="s">
        <v>272</v>
      </c>
      <c r="BE9" s="2503"/>
    </row>
    <row r="10" spans="1:120" customFormat="1" ht="14.25" customHeight="1" x14ac:dyDescent="0.2">
      <c r="A10" s="2503"/>
      <c r="B10" s="2541" t="s">
        <v>273</v>
      </c>
      <c r="BE10" s="2503"/>
    </row>
    <row r="11" spans="1:120" customFormat="1" ht="6" customHeight="1" x14ac:dyDescent="0.2">
      <c r="A11" s="2503"/>
      <c r="B11" s="2541"/>
      <c r="BE11" s="2503"/>
    </row>
    <row r="12" spans="1:120" customFormat="1" ht="12.75" customHeight="1" x14ac:dyDescent="0.2">
      <c r="A12" s="2503"/>
      <c r="B12" s="988" t="s">
        <v>601</v>
      </c>
      <c r="BE12" s="2503"/>
    </row>
    <row r="13" spans="1:120" customFormat="1" ht="7.5" customHeight="1" x14ac:dyDescent="0.2">
      <c r="A13" s="2503"/>
      <c r="B13" s="988"/>
      <c r="BE13" s="2503"/>
    </row>
    <row r="14" spans="1:120" customFormat="1" ht="12.75" customHeight="1" x14ac:dyDescent="0.2">
      <c r="A14" s="2503"/>
      <c r="B14" s="988" t="s">
        <v>603</v>
      </c>
      <c r="BE14" s="2503"/>
    </row>
    <row r="15" spans="1:120" customFormat="1" ht="12.75" customHeight="1" x14ac:dyDescent="0.2">
      <c r="A15" s="2503"/>
      <c r="B15" s="988" t="s">
        <v>604</v>
      </c>
      <c r="BE15" s="2503"/>
    </row>
    <row r="16" spans="1:120" customFormat="1" ht="12.75" customHeight="1" x14ac:dyDescent="0.2">
      <c r="A16" s="2503"/>
      <c r="B16" s="988"/>
      <c r="BE16" s="2503"/>
    </row>
    <row r="17" spans="1:57" ht="12.75" customHeight="1" x14ac:dyDescent="0.2">
      <c r="A17" s="2503"/>
      <c r="B17" s="988" t="s">
        <v>605</v>
      </c>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s="2503"/>
    </row>
    <row r="18" spans="1:57" ht="12.75" customHeight="1" x14ac:dyDescent="0.2">
      <c r="A18" s="2503"/>
      <c r="B18" s="98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s="2503"/>
    </row>
    <row r="19" spans="1:57" ht="12.75" customHeight="1" x14ac:dyDescent="0.2">
      <c r="A19" s="2503"/>
      <c r="B19" s="988" t="s">
        <v>606</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2503"/>
    </row>
    <row r="20" spans="1:57" ht="4.7" customHeight="1" x14ac:dyDescent="0.2">
      <c r="A20" s="2503"/>
      <c r="B20" s="988"/>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2503"/>
    </row>
    <row r="21" spans="1:57" ht="12.75" customHeight="1" x14ac:dyDescent="0.2">
      <c r="A21" s="2503"/>
      <c r="B21" s="988" t="s">
        <v>607</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2503"/>
    </row>
    <row r="22" spans="1:57" ht="12.75" customHeight="1" x14ac:dyDescent="0.2">
      <c r="A22" s="2503"/>
      <c r="B22" s="988"/>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2503"/>
    </row>
    <row r="23" spans="1:57" ht="12.75" customHeight="1" x14ac:dyDescent="0.2">
      <c r="A23" s="2503"/>
      <c r="B23" s="988" t="s">
        <v>268</v>
      </c>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2503"/>
    </row>
    <row r="24" spans="1:57" ht="12.75" customHeight="1" x14ac:dyDescent="0.2">
      <c r="A24" s="2503"/>
      <c r="B24" s="988" t="s">
        <v>269</v>
      </c>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s="2503"/>
    </row>
    <row r="25" spans="1:57" ht="12.75" customHeight="1" x14ac:dyDescent="0.2">
      <c r="A25" s="2503"/>
      <c r="B25" s="988" t="s">
        <v>609</v>
      </c>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s="2503"/>
    </row>
    <row r="26" spans="1:57" ht="12.75" customHeight="1" x14ac:dyDescent="0.2">
      <c r="A26" s="2503"/>
      <c r="B26" s="988" t="s">
        <v>270</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s="2503"/>
    </row>
    <row r="27" spans="1:57" ht="12.75" customHeight="1" x14ac:dyDescent="0.2">
      <c r="A27" s="2503"/>
      <c r="B27" s="988" t="s">
        <v>271</v>
      </c>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s="2503"/>
    </row>
    <row r="28" spans="1:57" ht="12.75" customHeight="1" x14ac:dyDescent="0.2">
      <c r="A28" s="2503"/>
      <c r="B28" s="98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s="2503"/>
    </row>
    <row r="29" spans="1:57" ht="12.75" customHeight="1" x14ac:dyDescent="0.2">
      <c r="A29" s="2503"/>
      <c r="B29" s="988" t="s">
        <v>274</v>
      </c>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s="2503"/>
    </row>
    <row r="30" spans="1:57" ht="12.75" customHeight="1" x14ac:dyDescent="0.2">
      <c r="A30" s="2503"/>
      <c r="B30" s="988" t="s">
        <v>275</v>
      </c>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2503"/>
    </row>
    <row r="31" spans="1:57" ht="12.2" customHeight="1" x14ac:dyDescent="0.2">
      <c r="A31" s="2503"/>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2503"/>
    </row>
    <row r="32" spans="1:57" ht="12.2" customHeight="1" x14ac:dyDescent="0.2">
      <c r="A32" s="2503"/>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2503"/>
    </row>
    <row r="33" spans="1:57" ht="18.75" customHeight="1" x14ac:dyDescent="0.2">
      <c r="A33" s="250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s="2503"/>
    </row>
    <row r="34" spans="1:57" ht="8.4499999999999993" customHeight="1" x14ac:dyDescent="0.2">
      <c r="A34" s="2503"/>
      <c r="B34" s="176"/>
      <c r="C34" s="595"/>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2503"/>
    </row>
    <row r="35" spans="1:57" ht="1.9" customHeight="1" x14ac:dyDescent="0.2">
      <c r="A35" s="2503"/>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2503"/>
    </row>
    <row r="36" spans="1:57" ht="18" x14ac:dyDescent="0.25">
      <c r="A36" s="2503"/>
      <c r="B36" s="594" t="s">
        <v>932</v>
      </c>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c r="AA36" s="596"/>
      <c r="AB36" s="596"/>
      <c r="AC36" s="596"/>
      <c r="AD36" s="596"/>
      <c r="AE36" s="596"/>
      <c r="AF36" s="596"/>
      <c r="AG36" s="596"/>
      <c r="AH36" s="596"/>
      <c r="AI36" s="596"/>
      <c r="AJ36" s="596"/>
      <c r="AK36" s="596"/>
      <c r="AL36" s="596"/>
      <c r="AM36" s="596"/>
      <c r="AN36" s="596"/>
      <c r="AO36" s="596"/>
      <c r="AP36" s="596"/>
      <c r="AQ36" s="596"/>
      <c r="AR36" s="596"/>
      <c r="AS36" s="596"/>
      <c r="AT36" s="596"/>
      <c r="AU36" s="596"/>
      <c r="AV36" s="596"/>
      <c r="AW36" s="596"/>
      <c r="AX36" s="596"/>
      <c r="AY36" s="596"/>
      <c r="AZ36" s="596"/>
      <c r="BA36" s="596"/>
      <c r="BB36" s="596"/>
      <c r="BC36" s="596"/>
      <c r="BD36" s="596"/>
      <c r="BE36" s="2503"/>
    </row>
    <row r="37" spans="1:57" x14ac:dyDescent="0.2">
      <c r="A37" s="2503"/>
      <c r="BE37" s="2503"/>
    </row>
    <row r="38" spans="1:57" x14ac:dyDescent="0.2">
      <c r="A38" s="2503"/>
      <c r="BE38" s="2503"/>
    </row>
    <row r="39" spans="1:57" ht="18" x14ac:dyDescent="0.2">
      <c r="A39" s="2503"/>
      <c r="B39" s="597"/>
      <c r="C39" s="598" t="s">
        <v>933</v>
      </c>
      <c r="D39" s="599"/>
      <c r="E39" s="599"/>
      <c r="F39" s="599"/>
      <c r="G39" s="599"/>
      <c r="H39" s="599"/>
      <c r="I39" s="600"/>
      <c r="J39" s="601"/>
      <c r="K39" s="602"/>
      <c r="L39" s="595"/>
      <c r="M39" s="595"/>
      <c r="N39" s="595"/>
      <c r="O39" s="596"/>
      <c r="P39" s="596"/>
      <c r="Q39" s="596"/>
      <c r="R39" s="596"/>
      <c r="S39" s="596"/>
      <c r="T39" s="596"/>
      <c r="U39" s="596"/>
      <c r="V39" s="596"/>
      <c r="W39" s="596"/>
      <c r="X39" s="596"/>
      <c r="Y39" s="603"/>
      <c r="Z39" s="598" t="s">
        <v>934</v>
      </c>
      <c r="AA39" s="604"/>
      <c r="AB39" s="604"/>
      <c r="AC39" s="605"/>
      <c r="AD39" s="606"/>
      <c r="AE39" s="596"/>
      <c r="AF39" s="596"/>
      <c r="AG39" s="596"/>
      <c r="AH39" s="596"/>
      <c r="AI39" s="596"/>
      <c r="AJ39" s="596"/>
      <c r="AK39" s="596"/>
      <c r="AL39" s="596"/>
      <c r="AM39" s="596"/>
      <c r="AN39" s="596"/>
      <c r="AO39" s="596"/>
      <c r="AP39" s="607" t="s">
        <v>935</v>
      </c>
      <c r="AQ39" s="605"/>
      <c r="AR39" s="605"/>
      <c r="AS39" s="605"/>
      <c r="AT39" s="599"/>
      <c r="AU39" s="605"/>
      <c r="AV39" s="605"/>
      <c r="AW39" s="605"/>
      <c r="AX39" s="605"/>
      <c r="AY39" s="605"/>
      <c r="AZ39" s="605"/>
      <c r="BA39" s="605"/>
      <c r="BB39" s="605"/>
      <c r="BC39" s="606"/>
      <c r="BD39" s="596"/>
      <c r="BE39" s="2503"/>
    </row>
    <row r="40" spans="1:57" ht="14.25" x14ac:dyDescent="0.2">
      <c r="A40" s="2503"/>
      <c r="B40" s="596"/>
      <c r="C40" s="596"/>
      <c r="D40" s="596"/>
      <c r="E40" s="596"/>
      <c r="F40" s="608"/>
      <c r="G40" s="596"/>
      <c r="H40" s="596"/>
      <c r="I40" s="609"/>
      <c r="J40" s="596"/>
      <c r="K40" s="596"/>
      <c r="L40" s="596"/>
      <c r="M40" s="610"/>
      <c r="N40" s="610"/>
      <c r="O40" s="596"/>
      <c r="P40" s="596"/>
      <c r="Q40"/>
      <c r="R40" s="596"/>
      <c r="S40" s="596"/>
      <c r="T40" s="596"/>
      <c r="U40" s="596"/>
      <c r="V40" s="596"/>
      <c r="W40" s="596"/>
      <c r="X40" s="596"/>
      <c r="Y40" s="596"/>
      <c r="Z40" s="596"/>
      <c r="AA40" s="608"/>
      <c r="AB40" s="596"/>
      <c r="AC40" s="596"/>
      <c r="AD40" s="596"/>
      <c r="AE40" s="596"/>
      <c r="AF40" s="596"/>
      <c r="AG40" s="596"/>
      <c r="AH40" s="596"/>
      <c r="AI40" s="596"/>
      <c r="AJ40" s="596"/>
      <c r="AK40" s="596"/>
      <c r="AL40" s="596"/>
      <c r="AM40" s="596"/>
      <c r="AN40" s="596"/>
      <c r="AO40" s="596"/>
      <c r="AP40" s="596"/>
      <c r="AQ40" s="596"/>
      <c r="AR40" s="596"/>
      <c r="AS40" s="596"/>
      <c r="AT40" s="596"/>
      <c r="AU40" s="596"/>
      <c r="AV40" s="608"/>
      <c r="AW40" s="596"/>
      <c r="AX40" s="596"/>
      <c r="AY40" s="596"/>
      <c r="AZ40" s="596"/>
      <c r="BA40" s="596"/>
      <c r="BB40" s="596"/>
      <c r="BC40" s="596"/>
      <c r="BD40" s="596"/>
      <c r="BE40" s="2503"/>
    </row>
    <row r="41" spans="1:57" ht="14.25" x14ac:dyDescent="0.2">
      <c r="A41" s="2503"/>
      <c r="B41"/>
      <c r="C41"/>
      <c r="D41"/>
      <c r="E41"/>
      <c r="F41" s="595"/>
      <c r="G41" s="259"/>
      <c r="H41" s="259"/>
      <c r="I41" s="259"/>
      <c r="J41" s="259"/>
      <c r="K41" s="259"/>
      <c r="L41" s="259"/>
      <c r="M41" s="259"/>
      <c r="N41" s="259"/>
      <c r="O41" s="259"/>
      <c r="P41" s="259"/>
      <c r="Q41" s="259"/>
      <c r="R41" s="259"/>
      <c r="S41" s="259"/>
      <c r="T41" s="259"/>
      <c r="U41" s="259"/>
      <c r="V41" s="259"/>
      <c r="W41" s="259"/>
      <c r="X41" s="259"/>
      <c r="Y41" s="259"/>
      <c r="Z41" s="259"/>
      <c r="AA41" s="336"/>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c r="AX41"/>
      <c r="AY41"/>
      <c r="AZ41"/>
      <c r="BA41"/>
      <c r="BB41" s="596"/>
      <c r="BC41" s="596"/>
      <c r="BD41" s="596"/>
      <c r="BE41" s="2503"/>
    </row>
    <row r="42" spans="1:57" ht="14.25" x14ac:dyDescent="0.2">
      <c r="A42" s="2503"/>
      <c r="B42"/>
      <c r="C42"/>
      <c r="D42"/>
      <c r="E42"/>
      <c r="F42" s="595"/>
      <c r="G42"/>
      <c r="H42"/>
      <c r="I42"/>
      <c r="J42" s="28"/>
      <c r="K42" s="28"/>
      <c r="L42" s="28"/>
      <c r="M42" s="28"/>
      <c r="N42" s="28"/>
      <c r="O42" s="28"/>
      <c r="P42" s="28"/>
      <c r="Q42" s="28"/>
      <c r="R42" s="28"/>
      <c r="S42" s="28"/>
      <c r="T42" s="28"/>
      <c r="U42" s="28"/>
      <c r="V42" s="28"/>
      <c r="W42" s="28"/>
      <c r="X42" s="28"/>
      <c r="Y42" s="28"/>
      <c r="Z42" s="28"/>
      <c r="AA42" s="300"/>
      <c r="AB42" s="28"/>
      <c r="AC42" s="28"/>
      <c r="AD42" s="28"/>
      <c r="AE42" s="28"/>
      <c r="AF42" s="28"/>
      <c r="AG42" s="28"/>
      <c r="AH42" s="28"/>
      <c r="AI42" s="28"/>
      <c r="AJ42" s="28"/>
      <c r="AK42" s="28"/>
      <c r="AL42" s="28"/>
      <c r="AM42" s="28"/>
      <c r="AN42" s="28"/>
      <c r="AO42" s="28"/>
      <c r="AP42" s="28"/>
      <c r="AQ42" s="28"/>
      <c r="AR42" s="28"/>
      <c r="AS42" s="28"/>
      <c r="AT42" s="28"/>
      <c r="AU42" s="28"/>
      <c r="AV42" s="28"/>
      <c r="AW42"/>
      <c r="AX42"/>
      <c r="AY42"/>
      <c r="AZ42"/>
      <c r="BA42"/>
      <c r="BB42" s="596"/>
      <c r="BC42" s="596"/>
      <c r="BD42" s="596"/>
      <c r="BE42" s="2503"/>
    </row>
    <row r="43" spans="1:57" ht="14.25" x14ac:dyDescent="0.2">
      <c r="A43" s="2503"/>
      <c r="B43"/>
      <c r="C43"/>
      <c r="D43"/>
      <c r="E43"/>
      <c r="F43"/>
      <c r="G43"/>
      <c r="H43"/>
      <c r="I43" s="25"/>
      <c r="J43" s="385"/>
      <c r="K43" s="611"/>
      <c r="L43" s="259"/>
      <c r="M43" s="259"/>
      <c r="N43" s="259"/>
      <c r="O43" s="259"/>
      <c r="P43" s="259"/>
      <c r="Q43" s="259"/>
      <c r="R43" s="259"/>
      <c r="S43" s="259"/>
      <c r="T43" s="259"/>
      <c r="U43" s="259"/>
      <c r="V43" s="259"/>
      <c r="W43" s="259"/>
      <c r="X43" s="259"/>
      <c r="Y43" s="259"/>
      <c r="Z43" s="259"/>
      <c r="AA43" s="612"/>
      <c r="AB43" s="259"/>
      <c r="AC43" s="259"/>
      <c r="AD43" s="259"/>
      <c r="AE43" s="259"/>
      <c r="AF43" s="259"/>
      <c r="AG43" s="259"/>
      <c r="AH43" s="259"/>
      <c r="AI43" s="259"/>
      <c r="AJ43" s="259"/>
      <c r="AK43" s="259"/>
      <c r="AL43" s="259"/>
      <c r="AM43" s="259"/>
      <c r="AN43" s="259"/>
      <c r="AO43" s="259"/>
      <c r="AP43" s="259"/>
      <c r="AQ43" s="259"/>
      <c r="AR43" s="259"/>
      <c r="AS43" s="259"/>
      <c r="AT43" s="259"/>
      <c r="AU43" s="259"/>
      <c r="AV43" s="612"/>
      <c r="AW43"/>
      <c r="AX43"/>
      <c r="AY43"/>
      <c r="AZ43"/>
      <c r="BA43"/>
      <c r="BB43" s="596"/>
      <c r="BC43" s="596"/>
      <c r="BD43" s="596"/>
      <c r="BE43" s="2503"/>
    </row>
    <row r="44" spans="1:57" ht="15.75" x14ac:dyDescent="0.25">
      <c r="A44" s="2503"/>
      <c r="B44" s="613" t="s">
        <v>936</v>
      </c>
      <c r="C44" s="614"/>
      <c r="D44" s="611"/>
      <c r="E44" s="611"/>
      <c r="F44" s="611"/>
      <c r="G44" s="611"/>
      <c r="H44" s="611"/>
      <c r="I44" s="611"/>
      <c r="J44" s="611"/>
      <c r="K44" s="611"/>
      <c r="L44" s="611"/>
      <c r="M44" s="611"/>
      <c r="N44" s="611"/>
      <c r="O44" s="611"/>
      <c r="P44" s="611"/>
      <c r="Q44" s="615"/>
      <c r="R44" s="616"/>
      <c r="S44" s="595"/>
      <c r="T44"/>
      <c r="U44" s="613" t="s">
        <v>937</v>
      </c>
      <c r="V44" s="615"/>
      <c r="W44" s="615"/>
      <c r="X44" s="611"/>
      <c r="Y44" s="611"/>
      <c r="Z44" s="611"/>
      <c r="AA44" s="611"/>
      <c r="AB44" s="611"/>
      <c r="AC44" s="611"/>
      <c r="AD44" s="611"/>
      <c r="AE44" s="611"/>
      <c r="AF44" s="611"/>
      <c r="AG44" s="611"/>
      <c r="AH44" s="611"/>
      <c r="AI44" s="611"/>
      <c r="AJ44" s="615"/>
      <c r="AK44" s="616"/>
      <c r="AL44"/>
      <c r="AM44"/>
      <c r="AN44"/>
      <c r="AO44" s="613" t="s">
        <v>434</v>
      </c>
      <c r="AP44" s="615"/>
      <c r="AQ44" s="611"/>
      <c r="AR44" s="611"/>
      <c r="AS44" s="611"/>
      <c r="AT44" s="611"/>
      <c r="AU44" s="611"/>
      <c r="AV44" s="611"/>
      <c r="AW44" s="611"/>
      <c r="AX44" s="611"/>
      <c r="AY44" s="611"/>
      <c r="AZ44" s="611"/>
      <c r="BA44" s="611"/>
      <c r="BB44" s="611"/>
      <c r="BC44" s="612"/>
      <c r="BD44" s="596"/>
      <c r="BE44" s="2503"/>
    </row>
    <row r="45" spans="1:57" ht="14.25" x14ac:dyDescent="0.2">
      <c r="A45" s="2503"/>
      <c r="B45"/>
      <c r="C45" s="595"/>
      <c r="D45" s="630" t="s">
        <v>938</v>
      </c>
      <c r="E45" s="631"/>
      <c r="F45" s="631"/>
      <c r="G45" s="631"/>
      <c r="H45" s="631"/>
      <c r="I45" s="631"/>
      <c r="J45" s="631"/>
      <c r="K45" s="631"/>
      <c r="L45" s="631"/>
      <c r="M45" s="631"/>
      <c r="N45" s="631"/>
      <c r="O45" s="631"/>
      <c r="P45" s="632"/>
      <c r="Q45" s="595"/>
      <c r="R45" s="595"/>
      <c r="S45" s="595"/>
      <c r="T45"/>
      <c r="U45"/>
      <c r="V45" s="595"/>
      <c r="W45" s="630" t="s">
        <v>938</v>
      </c>
      <c r="X45" s="631"/>
      <c r="Y45" s="631"/>
      <c r="Z45" s="631"/>
      <c r="AA45" s="631"/>
      <c r="AB45" s="631"/>
      <c r="AC45" s="631"/>
      <c r="AD45" s="631"/>
      <c r="AE45" s="631"/>
      <c r="AF45" s="631"/>
      <c r="AG45" s="631"/>
      <c r="AH45" s="631"/>
      <c r="AI45" s="632"/>
      <c r="AJ45" s="595"/>
      <c r="AK45" s="595"/>
      <c r="AL45"/>
      <c r="AM45"/>
      <c r="AN45"/>
      <c r="AO45"/>
      <c r="AP45" s="630" t="s">
        <v>938</v>
      </c>
      <c r="AQ45" s="631"/>
      <c r="AR45" s="631"/>
      <c r="AS45" s="631"/>
      <c r="AT45" s="631"/>
      <c r="AU45" s="631"/>
      <c r="AV45" s="631"/>
      <c r="AW45" s="631"/>
      <c r="AX45" s="631"/>
      <c r="AY45" s="631"/>
      <c r="AZ45" s="631"/>
      <c r="BA45" s="631"/>
      <c r="BB45" s="632"/>
      <c r="BC45" s="596"/>
      <c r="BD45" s="596"/>
      <c r="BE45" s="2503"/>
    </row>
    <row r="46" spans="1:57" ht="14.25" x14ac:dyDescent="0.2">
      <c r="A46" s="2503"/>
      <c r="B46"/>
      <c r="C46" s="595"/>
      <c r="D46" s="633" t="s">
        <v>939</v>
      </c>
      <c r="E46" s="634"/>
      <c r="F46" s="634"/>
      <c r="G46" s="634"/>
      <c r="H46" s="634"/>
      <c r="I46" s="634"/>
      <c r="J46" s="634"/>
      <c r="K46" s="634"/>
      <c r="L46" s="634"/>
      <c r="M46" s="634"/>
      <c r="N46" s="634"/>
      <c r="O46" s="634"/>
      <c r="P46" s="635"/>
      <c r="Q46" s="595"/>
      <c r="R46" s="595"/>
      <c r="S46" s="595"/>
      <c r="T46"/>
      <c r="U46"/>
      <c r="V46" s="595"/>
      <c r="W46" s="633" t="s">
        <v>939</v>
      </c>
      <c r="X46" s="634"/>
      <c r="Y46" s="634"/>
      <c r="Z46" s="634"/>
      <c r="AA46" s="634"/>
      <c r="AB46" s="634"/>
      <c r="AC46" s="634"/>
      <c r="AD46" s="634"/>
      <c r="AE46" s="634"/>
      <c r="AF46" s="634"/>
      <c r="AG46" s="634"/>
      <c r="AH46" s="634"/>
      <c r="AI46" s="635"/>
      <c r="AJ46" s="595"/>
      <c r="AK46" s="595"/>
      <c r="AL46"/>
      <c r="AM46"/>
      <c r="AN46"/>
      <c r="AO46"/>
      <c r="AP46" s="633" t="s">
        <v>597</v>
      </c>
      <c r="AQ46" s="634"/>
      <c r="AR46" s="634"/>
      <c r="AS46" s="634"/>
      <c r="AT46" s="634"/>
      <c r="AU46" s="634"/>
      <c r="AV46" s="634"/>
      <c r="AW46" s="634"/>
      <c r="AX46" s="634"/>
      <c r="AY46" s="634"/>
      <c r="AZ46" s="634"/>
      <c r="BA46" s="634"/>
      <c r="BB46" s="635"/>
      <c r="BC46" s="596"/>
      <c r="BD46" s="596"/>
      <c r="BE46" s="2503"/>
    </row>
    <row r="47" spans="1:57" ht="14.25" x14ac:dyDescent="0.2">
      <c r="A47" s="2503"/>
      <c r="B47"/>
      <c r="C47" s="595"/>
      <c r="D47" s="625" t="s">
        <v>940</v>
      </c>
      <c r="E47" s="626"/>
      <c r="F47" s="626"/>
      <c r="G47" s="626"/>
      <c r="H47" s="626"/>
      <c r="I47" s="626"/>
      <c r="J47" s="626"/>
      <c r="K47" s="626"/>
      <c r="L47" s="626"/>
      <c r="M47" s="626"/>
      <c r="N47" s="626"/>
      <c r="O47" s="626"/>
      <c r="P47" s="627"/>
      <c r="Q47" s="595"/>
      <c r="R47" s="595"/>
      <c r="S47" s="595"/>
      <c r="T47"/>
      <c r="U47"/>
      <c r="V47" s="595"/>
      <c r="W47" s="625" t="s">
        <v>940</v>
      </c>
      <c r="X47" s="626"/>
      <c r="Y47" s="626"/>
      <c r="Z47" s="626"/>
      <c r="AA47" s="626"/>
      <c r="AB47" s="626"/>
      <c r="AC47" s="626"/>
      <c r="AD47" s="626"/>
      <c r="AE47" s="626"/>
      <c r="AF47" s="626"/>
      <c r="AG47" s="626"/>
      <c r="AH47" s="626"/>
      <c r="AI47" s="627"/>
      <c r="AJ47" s="595"/>
      <c r="AK47" s="595"/>
      <c r="AL47"/>
      <c r="AM47"/>
      <c r="AN47"/>
      <c r="AO47"/>
      <c r="AP47" s="625" t="s">
        <v>598</v>
      </c>
      <c r="AQ47" s="626"/>
      <c r="AR47" s="626"/>
      <c r="AS47" s="626"/>
      <c r="AT47" s="626"/>
      <c r="AU47" s="626"/>
      <c r="AV47" s="626"/>
      <c r="AW47" s="626"/>
      <c r="AX47" s="626"/>
      <c r="AY47" s="626"/>
      <c r="AZ47" s="626"/>
      <c r="BA47" s="626"/>
      <c r="BB47" s="627"/>
      <c r="BC47" s="596"/>
      <c r="BD47" s="596"/>
      <c r="BE47" s="2503"/>
    </row>
    <row r="48" spans="1:57" ht="14.25" x14ac:dyDescent="0.2">
      <c r="A48" s="2503"/>
      <c r="B48"/>
      <c r="C48"/>
      <c r="D48"/>
      <c r="E48"/>
      <c r="F48"/>
      <c r="G48"/>
      <c r="H48"/>
      <c r="I48" s="336"/>
      <c r="J48"/>
      <c r="K48" s="259"/>
      <c r="L48"/>
      <c r="M48"/>
      <c r="N48"/>
      <c r="O48"/>
      <c r="P48"/>
      <c r="Q48"/>
      <c r="R48"/>
      <c r="S48"/>
      <c r="T48"/>
      <c r="U48"/>
      <c r="V48"/>
      <c r="W48"/>
      <c r="X48"/>
      <c r="Y48"/>
      <c r="Z48"/>
      <c r="AA48" s="336"/>
      <c r="AB48"/>
      <c r="AC48"/>
      <c r="AD48"/>
      <c r="AE48"/>
      <c r="AF48"/>
      <c r="AG48"/>
      <c r="AH48"/>
      <c r="AI48"/>
      <c r="AJ48"/>
      <c r="AK48"/>
      <c r="AL48"/>
      <c r="AM48"/>
      <c r="AN48"/>
      <c r="AO48"/>
      <c r="AP48"/>
      <c r="AQ48"/>
      <c r="AR48"/>
      <c r="AS48"/>
      <c r="AT48"/>
      <c r="AU48"/>
      <c r="AV48" s="336"/>
      <c r="AW48"/>
      <c r="AX48"/>
      <c r="AY48"/>
      <c r="AZ48"/>
      <c r="BA48"/>
      <c r="BB48" s="596"/>
      <c r="BC48" s="596"/>
      <c r="BD48" s="596"/>
      <c r="BE48" s="2503"/>
    </row>
    <row r="49" spans="1:57" ht="14.25" x14ac:dyDescent="0.2">
      <c r="A49" s="2503"/>
      <c r="B49"/>
      <c r="C49"/>
      <c r="D49"/>
      <c r="E49"/>
      <c r="F49"/>
      <c r="G49"/>
      <c r="H49"/>
      <c r="I49" s="300"/>
      <c r="J49"/>
      <c r="K49" s="28"/>
      <c r="L49"/>
      <c r="M49"/>
      <c r="N49"/>
      <c r="O49"/>
      <c r="P49"/>
      <c r="Q49"/>
      <c r="R49"/>
      <c r="S49"/>
      <c r="T49"/>
      <c r="U49"/>
      <c r="V49"/>
      <c r="W49"/>
      <c r="X49"/>
      <c r="Y49"/>
      <c r="Z49"/>
      <c r="AA49" s="300"/>
      <c r="AB49"/>
      <c r="AC49"/>
      <c r="AD49"/>
      <c r="AE49"/>
      <c r="AF49"/>
      <c r="AG49"/>
      <c r="AH49"/>
      <c r="AI49"/>
      <c r="AJ49"/>
      <c r="AK49"/>
      <c r="AL49"/>
      <c r="AM49"/>
      <c r="AN49"/>
      <c r="AO49"/>
      <c r="AP49"/>
      <c r="AQ49"/>
      <c r="AR49"/>
      <c r="AS49"/>
      <c r="AT49"/>
      <c r="AU49"/>
      <c r="AV49" s="300"/>
      <c r="AW49"/>
      <c r="AX49"/>
      <c r="AY49"/>
      <c r="AZ49"/>
      <c r="BA49"/>
      <c r="BB49" s="596"/>
      <c r="BC49" s="596"/>
      <c r="BD49" s="596"/>
      <c r="BE49" s="2503"/>
    </row>
    <row r="50" spans="1:57" ht="6" customHeight="1" x14ac:dyDescent="0.2">
      <c r="A50" s="2503"/>
      <c r="B50"/>
      <c r="C50"/>
      <c r="D50"/>
      <c r="E50"/>
      <c r="F50"/>
      <c r="G50"/>
      <c r="H50"/>
      <c r="I50"/>
      <c r="J50" s="259"/>
      <c r="K50" s="259"/>
      <c r="L50" s="259"/>
      <c r="M50" s="259"/>
      <c r="N50" s="259"/>
      <c r="O50" s="259"/>
      <c r="P50" s="259"/>
      <c r="Q50" s="259"/>
      <c r="R50" s="259"/>
      <c r="S50" s="259"/>
      <c r="T50" s="259"/>
      <c r="U50" s="259"/>
      <c r="V50" s="259"/>
      <c r="W50" s="259"/>
      <c r="X50" s="259"/>
      <c r="Y50" s="259"/>
      <c r="Z50" s="259"/>
      <c r="AA50" s="336"/>
      <c r="AB50" s="259"/>
      <c r="AC50" s="259"/>
      <c r="AD50" s="259"/>
      <c r="AE50" s="259"/>
      <c r="AF50" s="259"/>
      <c r="AG50" s="259"/>
      <c r="AH50" s="259"/>
      <c r="AI50" s="259"/>
      <c r="AJ50" s="259"/>
      <c r="AK50" s="259"/>
      <c r="AL50" s="259"/>
      <c r="AM50" s="259"/>
      <c r="AN50" s="259"/>
      <c r="AO50" s="259"/>
      <c r="AP50" s="259"/>
      <c r="AQ50" s="259"/>
      <c r="AR50" s="259"/>
      <c r="AS50" s="259"/>
      <c r="AT50" s="259"/>
      <c r="AU50" s="259"/>
      <c r="AV50" s="259"/>
      <c r="AW50"/>
      <c r="AX50"/>
      <c r="AY50"/>
      <c r="AZ50"/>
      <c r="BA50"/>
      <c r="BB50" s="596"/>
      <c r="BC50" s="596"/>
      <c r="BD50" s="596"/>
      <c r="BE50" s="2503"/>
    </row>
    <row r="51" spans="1:57" ht="6" customHeight="1" x14ac:dyDescent="0.2">
      <c r="A51" s="2503"/>
      <c r="B51"/>
      <c r="C51"/>
      <c r="D51"/>
      <c r="E51"/>
      <c r="F51"/>
      <c r="G51"/>
      <c r="H51"/>
      <c r="I51"/>
      <c r="J51"/>
      <c r="K51"/>
      <c r="L51"/>
      <c r="M51"/>
      <c r="N51"/>
      <c r="O51"/>
      <c r="P51"/>
      <c r="Q51"/>
      <c r="R51"/>
      <c r="S51"/>
      <c r="T51"/>
      <c r="U51"/>
      <c r="V51"/>
      <c r="W51"/>
      <c r="X51"/>
      <c r="Y51"/>
      <c r="Z51"/>
      <c r="AA51"/>
      <c r="AB51" s="37"/>
      <c r="AC51"/>
      <c r="AD51"/>
      <c r="AE51"/>
      <c r="AF51"/>
      <c r="AG51"/>
      <c r="AH51"/>
      <c r="AI51"/>
      <c r="AJ51"/>
      <c r="AK51"/>
      <c r="AL51"/>
      <c r="AQ51"/>
      <c r="AR51"/>
      <c r="AS51"/>
      <c r="AT51"/>
      <c r="AU51"/>
      <c r="AV51"/>
      <c r="AW51"/>
      <c r="AX51"/>
      <c r="AY51"/>
      <c r="AZ51"/>
      <c r="BA51"/>
      <c r="BB51" s="596"/>
      <c r="BC51" s="596"/>
      <c r="BD51" s="596"/>
      <c r="BE51" s="2503"/>
    </row>
    <row r="52" spans="1:57" ht="6.75" customHeight="1" x14ac:dyDescent="0.2">
      <c r="A52" s="2503"/>
      <c r="B52"/>
      <c r="C52"/>
      <c r="D52"/>
      <c r="E52"/>
      <c r="F52"/>
      <c r="G52"/>
      <c r="H52"/>
      <c r="I52"/>
      <c r="J52"/>
      <c r="K52"/>
      <c r="L52"/>
      <c r="M52"/>
      <c r="N52"/>
      <c r="O52"/>
      <c r="P52"/>
      <c r="Q52"/>
      <c r="R52"/>
      <c r="S52"/>
      <c r="T52"/>
      <c r="U52"/>
      <c r="V52"/>
      <c r="W52"/>
      <c r="X52" s="595"/>
      <c r="Y52"/>
      <c r="Z52"/>
      <c r="AA52"/>
      <c r="AB52" s="37"/>
      <c r="AC52"/>
      <c r="AD52"/>
      <c r="AE52"/>
      <c r="AF52"/>
      <c r="AG52"/>
      <c r="AH52"/>
      <c r="AI52"/>
      <c r="AJ52"/>
      <c r="AK52"/>
      <c r="AL52"/>
      <c r="AM52"/>
      <c r="AN52"/>
      <c r="AO52"/>
      <c r="AP52"/>
      <c r="AQ52"/>
      <c r="AR52"/>
      <c r="AS52"/>
      <c r="AT52"/>
      <c r="AU52"/>
      <c r="AV52"/>
      <c r="AW52"/>
      <c r="AX52"/>
      <c r="AY52"/>
      <c r="AZ52"/>
      <c r="BA52"/>
      <c r="BB52"/>
      <c r="BC52"/>
      <c r="BD52"/>
      <c r="BE52" s="2503"/>
    </row>
    <row r="53" spans="1:57" x14ac:dyDescent="0.2">
      <c r="A53" s="2503"/>
      <c r="B53"/>
      <c r="C53"/>
      <c r="D53"/>
      <c r="E53"/>
      <c r="F53"/>
      <c r="G53"/>
      <c r="H53"/>
      <c r="I53"/>
      <c r="J53"/>
      <c r="K53"/>
      <c r="L53"/>
      <c r="M53"/>
      <c r="N53"/>
      <c r="O53"/>
      <c r="P53"/>
      <c r="Q53"/>
      <c r="R53"/>
      <c r="S53"/>
      <c r="T53"/>
      <c r="U53"/>
      <c r="V53"/>
      <c r="W53"/>
      <c r="X53"/>
      <c r="Y53"/>
      <c r="Z53"/>
      <c r="AA53" s="300"/>
      <c r="AB53"/>
      <c r="AC53"/>
      <c r="AD53"/>
      <c r="AE53"/>
      <c r="AF53"/>
      <c r="AG53"/>
      <c r="AH53"/>
      <c r="AI53"/>
      <c r="AJ53"/>
      <c r="AK53"/>
      <c r="AL53"/>
      <c r="AM53"/>
      <c r="AN53"/>
      <c r="AO53"/>
      <c r="AP53"/>
      <c r="AQ53"/>
      <c r="AR53"/>
      <c r="AS53"/>
      <c r="AT53"/>
      <c r="AU53"/>
      <c r="AV53"/>
      <c r="AW53"/>
      <c r="AX53"/>
      <c r="AY53"/>
      <c r="AZ53"/>
      <c r="BA53"/>
      <c r="BB53"/>
      <c r="BC53"/>
      <c r="BD53"/>
      <c r="BE53" s="2503"/>
    </row>
    <row r="54" spans="1:57" ht="14.25" x14ac:dyDescent="0.2">
      <c r="A54" s="2503"/>
      <c r="B54"/>
      <c r="C54"/>
      <c r="D54"/>
      <c r="E54" s="28"/>
      <c r="F54" s="28"/>
      <c r="G54" s="28"/>
      <c r="H54"/>
      <c r="I54"/>
      <c r="J54"/>
      <c r="K54"/>
      <c r="L54"/>
      <c r="M54"/>
      <c r="N54"/>
      <c r="O54"/>
      <c r="P54"/>
      <c r="Q54" s="385"/>
      <c r="R54" s="611"/>
      <c r="S54" s="2256"/>
      <c r="T54" s="2256"/>
      <c r="U54" s="628" t="s">
        <v>966</v>
      </c>
      <c r="V54" s="628"/>
      <c r="W54" s="628"/>
      <c r="X54" s="628"/>
      <c r="Y54" s="628"/>
      <c r="Z54" s="628"/>
      <c r="AA54" s="628"/>
      <c r="AB54" s="628"/>
      <c r="AC54" s="628"/>
      <c r="AD54" s="628"/>
      <c r="AE54" s="628"/>
      <c r="AF54" s="628"/>
      <c r="AG54" s="628"/>
      <c r="AH54" s="628"/>
      <c r="AI54" s="628"/>
      <c r="AJ54" s="628"/>
      <c r="AK54" s="628"/>
      <c r="AL54" s="611"/>
      <c r="AM54" s="611"/>
      <c r="AN54" s="611"/>
      <c r="AO54" s="612"/>
      <c r="AP54"/>
      <c r="AQ54"/>
      <c r="AR54"/>
      <c r="AS54"/>
      <c r="AT54"/>
      <c r="AU54"/>
      <c r="AV54"/>
      <c r="AW54"/>
      <c r="AX54"/>
      <c r="AY54"/>
      <c r="AZ54"/>
      <c r="BA54"/>
      <c r="BB54"/>
      <c r="BC54"/>
      <c r="BD54"/>
      <c r="BE54" s="2503"/>
    </row>
    <row r="55" spans="1:57" ht="14.25" x14ac:dyDescent="0.2">
      <c r="A55" s="2503"/>
      <c r="B55"/>
      <c r="C55"/>
      <c r="D55"/>
      <c r="E55" s="28"/>
      <c r="F55" s="28"/>
      <c r="G55" s="28"/>
      <c r="H55"/>
      <c r="I55"/>
      <c r="J55"/>
      <c r="K55"/>
      <c r="L55"/>
      <c r="M55"/>
      <c r="N55"/>
      <c r="O55"/>
      <c r="P55"/>
      <c r="Q55"/>
      <c r="R55"/>
      <c r="S55"/>
      <c r="T55"/>
      <c r="U55"/>
      <c r="V55"/>
      <c r="W55"/>
      <c r="X55" s="595"/>
      <c r="Y55"/>
      <c r="Z55"/>
      <c r="AA55" s="300"/>
      <c r="AB55"/>
      <c r="AC55"/>
      <c r="AD55"/>
      <c r="AE55"/>
      <c r="AF55"/>
      <c r="AG55"/>
      <c r="AH55"/>
      <c r="AI55"/>
      <c r="AJ55"/>
      <c r="AK55"/>
      <c r="AL55"/>
      <c r="AM55"/>
      <c r="AN55"/>
      <c r="AO55"/>
      <c r="AP55"/>
      <c r="AQ55"/>
      <c r="AR55"/>
      <c r="AS55"/>
      <c r="AT55"/>
      <c r="AU55"/>
      <c r="AV55"/>
      <c r="AW55"/>
      <c r="AX55"/>
      <c r="AY55"/>
      <c r="AZ55"/>
      <c r="BA55"/>
      <c r="BB55"/>
      <c r="BC55"/>
      <c r="BD55"/>
      <c r="BE55" s="2503"/>
    </row>
    <row r="56" spans="1:57" x14ac:dyDescent="0.2">
      <c r="A56" s="2503"/>
      <c r="B56"/>
      <c r="T56"/>
      <c r="U56"/>
      <c r="V56"/>
      <c r="W56"/>
      <c r="X56"/>
      <c r="Y56"/>
      <c r="Z56"/>
      <c r="AA56" s="300"/>
      <c r="AB56"/>
      <c r="AC56"/>
      <c r="AD56"/>
      <c r="AE56"/>
      <c r="AF56"/>
      <c r="AG56"/>
      <c r="AH56"/>
      <c r="AI56"/>
      <c r="AJ56"/>
      <c r="AK56"/>
      <c r="AL56"/>
      <c r="AM56"/>
      <c r="AN56"/>
      <c r="AO56"/>
      <c r="AP56"/>
      <c r="AQ56"/>
      <c r="AR56"/>
      <c r="AS56"/>
      <c r="AT56"/>
      <c r="AU56"/>
      <c r="AV56"/>
      <c r="AW56"/>
      <c r="AX56"/>
      <c r="AY56"/>
      <c r="AZ56"/>
      <c r="BA56"/>
      <c r="BB56"/>
      <c r="BC56"/>
      <c r="BD56"/>
      <c r="BE56" s="2503"/>
    </row>
    <row r="57" spans="1:57" ht="14.25" x14ac:dyDescent="0.2">
      <c r="A57" s="2503"/>
      <c r="B57"/>
      <c r="C57"/>
      <c r="D57"/>
      <c r="E57"/>
      <c r="F57"/>
      <c r="G57"/>
      <c r="H57"/>
      <c r="I57"/>
      <c r="J57"/>
      <c r="K57"/>
      <c r="L57"/>
      <c r="M57"/>
      <c r="N57"/>
      <c r="O57"/>
      <c r="P57"/>
      <c r="Q57"/>
      <c r="R57"/>
      <c r="S57"/>
      <c r="T57"/>
      <c r="U57"/>
      <c r="V57" s="385"/>
      <c r="W57" s="620" t="s">
        <v>967</v>
      </c>
      <c r="X57" s="2256"/>
      <c r="Y57" s="2256"/>
      <c r="Z57" s="2256"/>
      <c r="AA57" s="617"/>
      <c r="AB57" s="617"/>
      <c r="AC57" s="618"/>
      <c r="AD57" s="611"/>
      <c r="AE57" s="611"/>
      <c r="AF57" s="611"/>
      <c r="AG57" s="611"/>
      <c r="AH57" s="612"/>
      <c r="AI57"/>
      <c r="AJ57"/>
      <c r="AK57"/>
      <c r="AL57"/>
      <c r="AM57"/>
      <c r="AN57"/>
      <c r="AO57"/>
      <c r="AP57"/>
      <c r="AQ57"/>
      <c r="AR57"/>
      <c r="AS57"/>
      <c r="AT57"/>
      <c r="AU57"/>
      <c r="AV57"/>
      <c r="AW57"/>
      <c r="AX57"/>
      <c r="AY57"/>
      <c r="AZ57"/>
      <c r="BA57"/>
      <c r="BB57"/>
      <c r="BC57"/>
      <c r="BD57"/>
      <c r="BE57" s="2503"/>
    </row>
    <row r="58" spans="1:57" x14ac:dyDescent="0.2">
      <c r="A58" s="2503"/>
      <c r="B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s="2503"/>
    </row>
    <row r="59" spans="1:57" ht="15" x14ac:dyDescent="0.2">
      <c r="A59" s="2503"/>
      <c r="B59" s="988" t="s">
        <v>610</v>
      </c>
      <c r="C59"/>
      <c r="D59"/>
      <c r="E59"/>
      <c r="F59"/>
      <c r="G59"/>
      <c r="H59"/>
      <c r="I59"/>
      <c r="J59"/>
      <c r="K59"/>
      <c r="L59"/>
      <c r="M59"/>
      <c r="N59"/>
      <c r="O59"/>
      <c r="P59"/>
      <c r="Q59"/>
      <c r="R59"/>
      <c r="S59"/>
      <c r="T59"/>
      <c r="U59"/>
      <c r="V59"/>
      <c r="W59"/>
      <c r="X59"/>
      <c r="Y59"/>
      <c r="Z59"/>
      <c r="AA59"/>
      <c r="AB59"/>
      <c r="AC59"/>
      <c r="AD59"/>
      <c r="AE59"/>
      <c r="AF59"/>
      <c r="AJ59" s="28"/>
      <c r="AK59"/>
      <c r="AL59"/>
      <c r="AM59"/>
      <c r="AN59"/>
      <c r="AO59"/>
      <c r="AP59"/>
      <c r="AQ59"/>
      <c r="AR59"/>
      <c r="AS59"/>
      <c r="AT59"/>
      <c r="AX59" s="28"/>
      <c r="AY59"/>
      <c r="AZ59"/>
      <c r="BA59"/>
      <c r="BB59" s="596"/>
      <c r="BC59" s="596"/>
      <c r="BD59" s="596"/>
      <c r="BE59" s="2503"/>
    </row>
    <row r="60" spans="1:57" ht="15" x14ac:dyDescent="0.2">
      <c r="A60" s="2503"/>
      <c r="B60" s="988"/>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s="596"/>
      <c r="BC60" s="596"/>
      <c r="BD60" s="596"/>
      <c r="BE60" s="2503"/>
    </row>
    <row r="61" spans="1:57" ht="15" x14ac:dyDescent="0.2">
      <c r="A61" s="2503"/>
      <c r="B61" s="988" t="s">
        <v>276</v>
      </c>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s="2503"/>
    </row>
    <row r="62" spans="1:57" ht="15" x14ac:dyDescent="0.2">
      <c r="A62" s="2503"/>
      <c r="B62" s="988" t="s">
        <v>277</v>
      </c>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s="2503"/>
    </row>
    <row r="63" spans="1:57" ht="15" x14ac:dyDescent="0.2">
      <c r="A63" s="2503"/>
      <c r="B63" s="988"/>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s="2503"/>
    </row>
    <row r="64" spans="1:57" ht="25.5" x14ac:dyDescent="0.35">
      <c r="A64" s="2503"/>
      <c r="B64" s="2543" t="s">
        <v>320</v>
      </c>
      <c r="C64"/>
      <c r="D64"/>
      <c r="E64"/>
      <c r="F64"/>
      <c r="G64"/>
      <c r="H64"/>
      <c r="I64"/>
      <c r="J64"/>
      <c r="K64"/>
      <c r="L64"/>
      <c r="M64"/>
      <c r="N64"/>
      <c r="O64"/>
      <c r="Q64" s="988"/>
      <c r="R64" s="988"/>
      <c r="S64" s="988"/>
      <c r="T64" s="988"/>
      <c r="U64" s="988"/>
      <c r="V64" s="2543" t="s">
        <v>321</v>
      </c>
      <c r="W64" s="988"/>
      <c r="X64" s="988"/>
      <c r="Y64" s="988"/>
      <c r="Z64" s="988"/>
      <c r="AA64" s="988"/>
      <c r="AB64" s="988"/>
      <c r="AC64" s="988"/>
      <c r="AD64" s="988"/>
      <c r="AE64" s="988"/>
      <c r="AG64" s="988"/>
      <c r="AH64" s="988"/>
      <c r="AI64" s="988"/>
      <c r="AJ64" s="988"/>
      <c r="AK64" s="988"/>
      <c r="AL64" s="988"/>
      <c r="AM64" s="2543" t="s">
        <v>322</v>
      </c>
      <c r="AN64" s="988"/>
      <c r="AO64" s="988"/>
      <c r="AP64" s="988"/>
      <c r="AQ64" s="554"/>
      <c r="AR64"/>
      <c r="AS64"/>
      <c r="AT64"/>
      <c r="AU64"/>
      <c r="AV64"/>
      <c r="AW64"/>
      <c r="AX64"/>
      <c r="AY64"/>
      <c r="AZ64"/>
      <c r="BA64"/>
      <c r="BB64"/>
      <c r="BC64"/>
      <c r="BD64"/>
      <c r="BE64" s="2503"/>
    </row>
    <row r="65" spans="1:57" ht="15" x14ac:dyDescent="0.2">
      <c r="A65" s="2503"/>
      <c r="B65" s="988"/>
      <c r="C65"/>
      <c r="D65"/>
      <c r="E65"/>
      <c r="F65"/>
      <c r="G65"/>
      <c r="H65"/>
      <c r="I65"/>
      <c r="J65"/>
      <c r="K65"/>
      <c r="L65"/>
      <c r="M65"/>
      <c r="N65"/>
      <c r="O65"/>
      <c r="P65" s="554"/>
      <c r="Q65" s="554"/>
      <c r="R65" s="554"/>
      <c r="S65" s="554"/>
      <c r="T65" s="554"/>
      <c r="U65" s="554"/>
      <c r="V65" s="554"/>
      <c r="W65" s="554"/>
      <c r="X65" s="554"/>
      <c r="Y65" s="554"/>
      <c r="Z65" s="554"/>
      <c r="AA65" s="554"/>
      <c r="AB65" s="554"/>
      <c r="AC65" s="554"/>
      <c r="AD65" s="554"/>
      <c r="AE65" s="554"/>
      <c r="AF65" s="554"/>
      <c r="AG65" s="554"/>
      <c r="AH65" s="554"/>
      <c r="AI65" s="554"/>
      <c r="AJ65" s="554"/>
      <c r="AK65" s="554"/>
      <c r="AL65" s="554"/>
      <c r="AM65" s="554"/>
      <c r="AN65" s="554"/>
      <c r="AO65" s="554"/>
      <c r="AP65" s="554"/>
      <c r="AQ65" s="554"/>
      <c r="AR65"/>
      <c r="AS65"/>
      <c r="AT65"/>
      <c r="AU65"/>
      <c r="AV65"/>
      <c r="AW65"/>
      <c r="AX65"/>
      <c r="AY65"/>
      <c r="AZ65"/>
      <c r="BA65"/>
      <c r="BB65"/>
      <c r="BC65"/>
      <c r="BD65"/>
      <c r="BE65" s="2503"/>
    </row>
    <row r="66" spans="1:57" ht="3.2" customHeight="1" x14ac:dyDescent="0.2">
      <c r="A66" s="2503"/>
      <c r="B66" s="988"/>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s="2503"/>
    </row>
    <row r="67" spans="1:57" ht="1.5" customHeight="1" x14ac:dyDescent="0.2">
      <c r="A67" s="2503"/>
      <c r="B67" s="988"/>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s="2503"/>
    </row>
    <row r="68" spans="1:57" ht="15" x14ac:dyDescent="0.2">
      <c r="A68" s="2503"/>
      <c r="B68" s="98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s="2503"/>
    </row>
    <row r="69" spans="1:57" ht="15" x14ac:dyDescent="0.2">
      <c r="A69" s="2503"/>
      <c r="B69" s="988" t="s">
        <v>611</v>
      </c>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s="2503"/>
    </row>
    <row r="70" spans="1:57" ht="15" x14ac:dyDescent="0.2">
      <c r="A70" s="2503"/>
      <c r="B70" s="988"/>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s="2503"/>
    </row>
    <row r="71" spans="1:57" ht="15.75" x14ac:dyDescent="0.25">
      <c r="A71" s="2503"/>
      <c r="B71" s="988" t="s">
        <v>342</v>
      </c>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s="2503"/>
    </row>
    <row r="72" spans="1:57" ht="15" x14ac:dyDescent="0.2">
      <c r="A72" s="2503"/>
      <c r="B72" s="988" t="s">
        <v>612</v>
      </c>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s="2503"/>
    </row>
    <row r="73" spans="1:57" ht="15.75" x14ac:dyDescent="0.25">
      <c r="A73" s="2503"/>
      <c r="B73" s="988" t="s">
        <v>343</v>
      </c>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s="2503"/>
    </row>
    <row r="74" spans="1:57" ht="16.5" customHeight="1" x14ac:dyDescent="0.25">
      <c r="A74" s="2503"/>
      <c r="B74" s="988" t="s">
        <v>344</v>
      </c>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s="2503"/>
    </row>
    <row r="75" spans="1:57" ht="22.7" customHeight="1" x14ac:dyDescent="0.2">
      <c r="A75" s="2503"/>
      <c r="B75" s="988"/>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s="2503"/>
    </row>
    <row r="76" spans="1:57" ht="18" x14ac:dyDescent="0.25">
      <c r="A76" s="2503"/>
      <c r="B76" s="594" t="s">
        <v>941</v>
      </c>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s="2503"/>
    </row>
    <row r="77" spans="1:57" x14ac:dyDescent="0.2">
      <c r="A77" s="2503"/>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s="2503"/>
    </row>
    <row r="78" spans="1:57" ht="15.75" x14ac:dyDescent="0.25">
      <c r="A78" s="2503"/>
      <c r="B78" s="988" t="s">
        <v>279</v>
      </c>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s="2503"/>
    </row>
    <row r="79" spans="1:57" ht="15.75" x14ac:dyDescent="0.25">
      <c r="A79" s="2503"/>
      <c r="B79" s="619" t="s">
        <v>281</v>
      </c>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s="2503"/>
    </row>
    <row r="80" spans="1:57" ht="15" x14ac:dyDescent="0.2">
      <c r="A80" s="2503"/>
      <c r="B80" s="988" t="s">
        <v>1485</v>
      </c>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s="2503"/>
    </row>
    <row r="81" spans="1:57" ht="15" x14ac:dyDescent="0.2">
      <c r="A81" s="2503"/>
      <c r="B81" s="988" t="s">
        <v>257</v>
      </c>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s="2503"/>
    </row>
    <row r="82" spans="1:57" ht="15" x14ac:dyDescent="0.2">
      <c r="A82" s="2503"/>
      <c r="B82" s="988" t="s">
        <v>258</v>
      </c>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s="2503"/>
    </row>
    <row r="83" spans="1:57" ht="15.75" x14ac:dyDescent="0.25">
      <c r="A83" s="2503"/>
      <c r="B83" s="988" t="s">
        <v>282</v>
      </c>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s="2503"/>
    </row>
    <row r="84" spans="1:57" ht="15" x14ac:dyDescent="0.2">
      <c r="A84" s="2503"/>
      <c r="B84" s="988" t="s">
        <v>1299</v>
      </c>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s="2503"/>
    </row>
    <row r="85" spans="1:57" ht="15" x14ac:dyDescent="0.2">
      <c r="A85" s="2503"/>
      <c r="B85" s="988" t="s">
        <v>1298</v>
      </c>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s="2503"/>
    </row>
    <row r="86" spans="1:57" ht="9" customHeight="1" x14ac:dyDescent="0.2">
      <c r="A86" s="2503"/>
      <c r="B86" s="988"/>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s="2503"/>
    </row>
    <row r="87" spans="1:57" ht="15.75" x14ac:dyDescent="0.25">
      <c r="A87" s="2503"/>
      <c r="B87" s="988" t="s">
        <v>283</v>
      </c>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s="2503"/>
    </row>
    <row r="88" spans="1:57" ht="8.4499999999999993" customHeight="1" x14ac:dyDescent="0.2">
      <c r="A88" s="2503"/>
      <c r="B88" s="9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s="2503"/>
    </row>
    <row r="89" spans="1:57" ht="15.75" x14ac:dyDescent="0.25">
      <c r="A89" s="2503"/>
      <c r="B89" s="988" t="s">
        <v>284</v>
      </c>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s="2503"/>
    </row>
    <row r="90" spans="1:57" ht="15" x14ac:dyDescent="0.2">
      <c r="A90" s="2503"/>
      <c r="B90" s="988" t="s">
        <v>1300</v>
      </c>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s="2503"/>
    </row>
    <row r="91" spans="1:57" ht="6.75" customHeight="1" x14ac:dyDescent="0.2">
      <c r="A91" s="2503"/>
      <c r="B91" s="988"/>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s="2503"/>
    </row>
    <row r="92" spans="1:57" ht="4.7" customHeight="1" x14ac:dyDescent="0.2">
      <c r="A92" s="2503"/>
      <c r="B92" s="988"/>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s="2503"/>
    </row>
    <row r="93" spans="1:57" ht="6.75" customHeight="1" x14ac:dyDescent="0.2">
      <c r="A93" s="2503"/>
      <c r="B93" s="988"/>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s="2503"/>
    </row>
    <row r="94" spans="1:57" ht="15.75" x14ac:dyDescent="0.25">
      <c r="A94" s="2503"/>
      <c r="B94" s="619" t="s">
        <v>1284</v>
      </c>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s="2503"/>
    </row>
    <row r="95" spans="1:57" ht="15" x14ac:dyDescent="0.2">
      <c r="A95" s="2503"/>
      <c r="B95" s="988" t="s">
        <v>116</v>
      </c>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s="2503"/>
    </row>
    <row r="96" spans="1:57" ht="10.5" customHeight="1" x14ac:dyDescent="0.2">
      <c r="A96" s="2503"/>
      <c r="B96" s="988"/>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s="2503"/>
    </row>
    <row r="97" spans="1:57" ht="9.75" customHeight="1" x14ac:dyDescent="0.2">
      <c r="A97" s="2503"/>
      <c r="B97" s="988"/>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s="2503"/>
    </row>
    <row r="98" spans="1:57" ht="8.4499999999999993" customHeight="1" x14ac:dyDescent="0.2">
      <c r="A98" s="2503"/>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s="2503"/>
    </row>
    <row r="99" spans="1:57" ht="18" x14ac:dyDescent="0.25">
      <c r="A99" s="2503"/>
      <c r="B99" s="594" t="s">
        <v>942</v>
      </c>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s="2503"/>
    </row>
    <row r="100" spans="1:57" ht="9" customHeight="1" x14ac:dyDescent="0.2">
      <c r="A100" s="250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503"/>
    </row>
    <row r="101" spans="1:57" ht="14.25" customHeight="1" x14ac:dyDescent="0.2">
      <c r="A101" s="2503"/>
      <c r="B101" s="988" t="s">
        <v>260</v>
      </c>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503"/>
    </row>
    <row r="102" spans="1:57" ht="15" x14ac:dyDescent="0.2">
      <c r="A102" s="2503"/>
      <c r="B102" s="988" t="s">
        <v>261</v>
      </c>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s="2503"/>
    </row>
    <row r="103" spans="1:57" ht="19.5" customHeight="1" x14ac:dyDescent="0.2">
      <c r="A103" s="2503"/>
      <c r="B103" s="988" t="s">
        <v>1491</v>
      </c>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s="2503"/>
    </row>
    <row r="104" spans="1:57" ht="15" x14ac:dyDescent="0.2">
      <c r="A104" s="2503"/>
      <c r="B104" s="988" t="s">
        <v>587</v>
      </c>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s="2503"/>
    </row>
    <row r="105" spans="1:57" ht="15" x14ac:dyDescent="0.2">
      <c r="A105" s="2503"/>
      <c r="B105" s="988" t="s">
        <v>262</v>
      </c>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s="2503"/>
    </row>
    <row r="106" spans="1:57" ht="15" x14ac:dyDescent="0.2">
      <c r="A106" s="2503"/>
      <c r="B106" s="988" t="s">
        <v>263</v>
      </c>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s="2503"/>
    </row>
    <row r="107" spans="1:57" ht="15" x14ac:dyDescent="0.2">
      <c r="A107" s="2503"/>
      <c r="B107" s="988" t="s">
        <v>264</v>
      </c>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s="2503"/>
    </row>
    <row r="108" spans="1:57" ht="11.25" customHeight="1" x14ac:dyDescent="0.2">
      <c r="A108" s="2503"/>
      <c r="B108" s="98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s="2503"/>
    </row>
    <row r="109" spans="1:57" ht="14.25" customHeight="1" x14ac:dyDescent="0.2">
      <c r="A109" s="2503"/>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s="2503"/>
    </row>
    <row r="110" spans="1:57" ht="18" x14ac:dyDescent="0.25">
      <c r="A110" s="2503"/>
      <c r="B110" s="594" t="s">
        <v>943</v>
      </c>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s="2503"/>
    </row>
    <row r="111" spans="1:57" x14ac:dyDescent="0.2">
      <c r="A111" s="2503"/>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s="2503"/>
    </row>
    <row r="112" spans="1:57" ht="15" x14ac:dyDescent="0.2">
      <c r="A112" s="2503"/>
      <c r="B112" s="988" t="s">
        <v>384</v>
      </c>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2503"/>
    </row>
    <row r="113" spans="1:57" ht="15" x14ac:dyDescent="0.2">
      <c r="A113" s="2503"/>
      <c r="B113" s="2541" t="s">
        <v>265</v>
      </c>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s="2503"/>
    </row>
    <row r="114" spans="1:57" ht="15" x14ac:dyDescent="0.2">
      <c r="A114" s="2503"/>
      <c r="B114" s="2541" t="s">
        <v>1282</v>
      </c>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s="2503"/>
    </row>
    <row r="115" spans="1:57" ht="15" x14ac:dyDescent="0.2">
      <c r="A115" s="2503"/>
      <c r="B115" s="2541" t="s">
        <v>266</v>
      </c>
      <c r="BC115"/>
      <c r="BD115"/>
      <c r="BE115" s="2503"/>
    </row>
    <row r="116" spans="1:57" ht="1.5" customHeight="1" x14ac:dyDescent="0.2">
      <c r="A116" s="2503"/>
      <c r="B116" s="2541"/>
      <c r="BC116"/>
      <c r="BD116"/>
      <c r="BE116" s="2503"/>
    </row>
    <row r="117" spans="1:57" ht="15.75" x14ac:dyDescent="0.25">
      <c r="A117" s="2503"/>
      <c r="B117" s="619" t="s">
        <v>968</v>
      </c>
      <c r="BC117"/>
      <c r="BD117"/>
      <c r="BE117" s="2503"/>
    </row>
    <row r="118" spans="1:57" ht="15.75" x14ac:dyDescent="0.25">
      <c r="A118" s="2503"/>
      <c r="B118" s="619" t="s">
        <v>969</v>
      </c>
      <c r="BC118"/>
      <c r="BD118"/>
      <c r="BE118" s="2503"/>
    </row>
    <row r="119" spans="1:57" ht="15.75" x14ac:dyDescent="0.25">
      <c r="A119" s="2503"/>
      <c r="B119" s="619" t="s">
        <v>323</v>
      </c>
      <c r="BC119"/>
      <c r="BD119"/>
      <c r="BE119" s="2503"/>
    </row>
    <row r="120" spans="1:57" ht="15" x14ac:dyDescent="0.2">
      <c r="A120" s="2503"/>
      <c r="B120" s="988"/>
      <c r="BC120"/>
      <c r="BD120"/>
      <c r="BE120" s="2503"/>
    </row>
    <row r="121" spans="1:57" ht="3.75" customHeight="1" x14ac:dyDescent="0.25">
      <c r="A121" s="2503"/>
      <c r="B121" s="961"/>
      <c r="BC121"/>
      <c r="BD121"/>
      <c r="BE121" s="2503"/>
    </row>
    <row r="122" spans="1:57" ht="18" x14ac:dyDescent="0.25">
      <c r="A122" s="2503"/>
      <c r="B122" s="594" t="s">
        <v>944</v>
      </c>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s="2503"/>
    </row>
    <row r="123" spans="1:57" x14ac:dyDescent="0.2">
      <c r="A123" s="250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s="2503"/>
    </row>
    <row r="124" spans="1:57" ht="15" x14ac:dyDescent="0.2">
      <c r="A124" s="2503"/>
      <c r="B124" s="988" t="s">
        <v>267</v>
      </c>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s="2503"/>
    </row>
    <row r="125" spans="1:57" ht="15" x14ac:dyDescent="0.2">
      <c r="A125" s="2503"/>
      <c r="B125" s="988" t="s">
        <v>324</v>
      </c>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s="2503"/>
    </row>
    <row r="126" spans="1:57" ht="15" x14ac:dyDescent="0.2">
      <c r="A126" s="2503"/>
      <c r="B126" s="988"/>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s="2503"/>
    </row>
    <row r="127" spans="1:57" ht="15.75" x14ac:dyDescent="0.25">
      <c r="A127" s="2503"/>
      <c r="B127" s="988" t="s">
        <v>285</v>
      </c>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s="2503"/>
    </row>
    <row r="128" spans="1:57" ht="15" x14ac:dyDescent="0.2">
      <c r="A128" s="2503"/>
      <c r="B128" s="988" t="s">
        <v>345</v>
      </c>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s="2503"/>
    </row>
    <row r="129" spans="1:57" ht="15" x14ac:dyDescent="0.2">
      <c r="A129" s="2503"/>
      <c r="B129" s="2541" t="s">
        <v>1283</v>
      </c>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s="2503"/>
    </row>
    <row r="130" spans="1:57" ht="15" x14ac:dyDescent="0.2">
      <c r="A130" s="2503"/>
      <c r="B130" s="988"/>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2503"/>
    </row>
    <row r="131" spans="1:57" ht="15" x14ac:dyDescent="0.2">
      <c r="A131" s="2503"/>
      <c r="B131" s="988" t="s">
        <v>366</v>
      </c>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2503"/>
    </row>
    <row r="132" spans="1:57" ht="6.75" customHeight="1" x14ac:dyDescent="0.2">
      <c r="A132" s="2503"/>
      <c r="B132" s="988"/>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2503"/>
    </row>
    <row r="133" spans="1:57" ht="15.75" x14ac:dyDescent="0.25">
      <c r="A133" s="2503"/>
      <c r="B133" s="988" t="s">
        <v>286</v>
      </c>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2503"/>
    </row>
    <row r="134" spans="1:57" ht="15" x14ac:dyDescent="0.2">
      <c r="A134" s="2503"/>
      <c r="B134" s="988" t="s">
        <v>367</v>
      </c>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2503"/>
    </row>
    <row r="135" spans="1:57" ht="15" x14ac:dyDescent="0.2">
      <c r="A135" s="2503"/>
      <c r="B135" s="988" t="s">
        <v>368</v>
      </c>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2503"/>
    </row>
    <row r="136" spans="1:57" ht="15" x14ac:dyDescent="0.2">
      <c r="A136" s="2503"/>
      <c r="B136" s="988" t="s">
        <v>325</v>
      </c>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2503"/>
    </row>
    <row r="137" spans="1:57" ht="15" x14ac:dyDescent="0.2">
      <c r="A137" s="2503"/>
      <c r="B137" s="988"/>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2503"/>
    </row>
    <row r="138" spans="1:57" ht="15" x14ac:dyDescent="0.2">
      <c r="A138" s="2503"/>
      <c r="B138" s="988" t="s">
        <v>1112</v>
      </c>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2503"/>
    </row>
    <row r="139" spans="1:57" ht="15" x14ac:dyDescent="0.2">
      <c r="A139" s="2503"/>
      <c r="B139" s="988" t="s">
        <v>1113</v>
      </c>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2503"/>
    </row>
    <row r="140" spans="1:57" ht="8.4499999999999993" customHeight="1" x14ac:dyDescent="0.2">
      <c r="A140" s="2503"/>
      <c r="B140" s="988"/>
      <c r="C140" s="413"/>
      <c r="D140" s="413"/>
      <c r="E140" s="413"/>
      <c r="F140" s="413"/>
      <c r="G140" s="413"/>
      <c r="H140" s="413"/>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c r="AI140" s="413"/>
      <c r="AJ140" s="413"/>
      <c r="AK140" s="413"/>
      <c r="AL140" s="413"/>
      <c r="AM140" s="413"/>
      <c r="AN140" s="413"/>
      <c r="AO140" s="413"/>
      <c r="AP140" s="413"/>
      <c r="AQ140" s="413"/>
      <c r="AR140"/>
      <c r="AS140"/>
      <c r="AT140"/>
      <c r="AU140"/>
      <c r="AV140"/>
      <c r="AW140"/>
      <c r="AX140"/>
      <c r="AY140"/>
      <c r="AZ140"/>
      <c r="BA140"/>
      <c r="BB140"/>
      <c r="BC140"/>
      <c r="BD140"/>
      <c r="BE140" s="2503"/>
    </row>
    <row r="141" spans="1:57" ht="15" x14ac:dyDescent="0.2">
      <c r="A141" s="2503"/>
      <c r="B141" s="988"/>
      <c r="C141" s="413"/>
      <c r="D141" s="413"/>
      <c r="E141" s="413"/>
      <c r="F141" s="413"/>
      <c r="G141" s="413"/>
      <c r="H141" s="413"/>
      <c r="I141" s="413"/>
      <c r="J141" s="413"/>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413"/>
      <c r="AJ141" s="413"/>
      <c r="AK141" s="413"/>
      <c r="AL141" s="413"/>
      <c r="AM141" s="413"/>
      <c r="AN141" s="413"/>
      <c r="AO141" s="413"/>
      <c r="AP141" s="413"/>
      <c r="AQ141" s="413"/>
      <c r="AR141"/>
      <c r="AS141"/>
      <c r="AT141"/>
      <c r="AU141"/>
      <c r="AV141"/>
      <c r="AW141"/>
      <c r="AX141"/>
      <c r="AY141"/>
      <c r="AZ141"/>
      <c r="BA141"/>
      <c r="BB141"/>
      <c r="BC141"/>
      <c r="BD141"/>
      <c r="BE141" s="2503"/>
    </row>
    <row r="142" spans="1:57" x14ac:dyDescent="0.2">
      <c r="A142" s="250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2503"/>
    </row>
    <row r="143" spans="1:57" x14ac:dyDescent="0.2">
      <c r="A143" s="250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2503"/>
    </row>
    <row r="144" spans="1:57" ht="18" x14ac:dyDescent="0.25">
      <c r="A144" s="2503"/>
      <c r="B144" s="594" t="s">
        <v>945</v>
      </c>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s="2503"/>
    </row>
    <row r="145" spans="1:57" x14ac:dyDescent="0.2">
      <c r="A145" s="2503"/>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s="2503"/>
    </row>
    <row r="146" spans="1:57" ht="15.75" x14ac:dyDescent="0.25">
      <c r="A146" s="2503"/>
      <c r="B146" s="2542" t="s">
        <v>287</v>
      </c>
      <c r="C146" s="988"/>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s="2503"/>
    </row>
    <row r="147" spans="1:57" ht="15" x14ac:dyDescent="0.2">
      <c r="A147" s="2503"/>
      <c r="B147" s="2541" t="s">
        <v>369</v>
      </c>
      <c r="C147" s="988"/>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s="2503"/>
    </row>
    <row r="148" spans="1:57" ht="15.75" x14ac:dyDescent="0.25">
      <c r="A148" s="2503"/>
      <c r="B148" s="2541" t="s">
        <v>288</v>
      </c>
      <c r="C148" s="98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s="2503"/>
    </row>
    <row r="149" spans="1:57" ht="15" x14ac:dyDescent="0.2">
      <c r="A149" s="2503"/>
      <c r="B149" s="2541" t="s">
        <v>370</v>
      </c>
      <c r="C149" s="988"/>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s="2503"/>
    </row>
    <row r="150" spans="1:57" ht="15" x14ac:dyDescent="0.2">
      <c r="A150" s="2503"/>
      <c r="B150" s="2541" t="s">
        <v>371</v>
      </c>
      <c r="C150" s="988"/>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2503"/>
    </row>
    <row r="151" spans="1:57" ht="15.75" x14ac:dyDescent="0.25">
      <c r="A151" s="2503"/>
      <c r="B151" s="619" t="s">
        <v>289</v>
      </c>
      <c r="C151" s="988"/>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2503"/>
    </row>
    <row r="152" spans="1:57" ht="15" x14ac:dyDescent="0.2">
      <c r="A152" s="2503"/>
      <c r="B152" s="2541" t="s">
        <v>372</v>
      </c>
      <c r="C152" s="988"/>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2503"/>
    </row>
    <row r="153" spans="1:57" ht="15.75" x14ac:dyDescent="0.25">
      <c r="A153" s="2503"/>
      <c r="B153" s="988" t="s">
        <v>290</v>
      </c>
      <c r="C153" s="988"/>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2503"/>
    </row>
    <row r="154" spans="1:57" ht="15" x14ac:dyDescent="0.2">
      <c r="A154" s="2503"/>
      <c r="B154" s="988" t="s">
        <v>388</v>
      </c>
      <c r="C154" s="2541"/>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2503"/>
    </row>
    <row r="155" spans="1:57" ht="15" x14ac:dyDescent="0.2">
      <c r="A155" s="2503"/>
      <c r="B155" s="2541" t="s">
        <v>389</v>
      </c>
      <c r="C155" s="988"/>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2503"/>
    </row>
    <row r="156" spans="1:57" ht="15" x14ac:dyDescent="0.2">
      <c r="A156" s="2503"/>
      <c r="B156" s="988" t="s">
        <v>391</v>
      </c>
      <c r="C156" s="988"/>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2503"/>
    </row>
    <row r="157" spans="1:57" ht="15" x14ac:dyDescent="0.2">
      <c r="A157" s="2503"/>
      <c r="B157" s="988" t="s">
        <v>392</v>
      </c>
      <c r="C157" s="988"/>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2503"/>
    </row>
    <row r="158" spans="1:57" ht="15" x14ac:dyDescent="0.2">
      <c r="A158" s="2503"/>
      <c r="B158" s="988" t="s">
        <v>393</v>
      </c>
      <c r="C158" s="98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2503"/>
    </row>
    <row r="159" spans="1:57" ht="22.5" customHeight="1" x14ac:dyDescent="0.25">
      <c r="A159" s="2503"/>
      <c r="B159" s="988" t="s">
        <v>291</v>
      </c>
      <c r="C159" s="988"/>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2503"/>
    </row>
    <row r="160" spans="1:57" ht="15" x14ac:dyDescent="0.2">
      <c r="A160" s="2503"/>
      <c r="B160" s="988" t="s">
        <v>394</v>
      </c>
      <c r="C160" s="988"/>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2503"/>
    </row>
    <row r="161" spans="1:57" ht="15" x14ac:dyDescent="0.2">
      <c r="A161" s="2503"/>
      <c r="B161" s="988" t="s">
        <v>1114</v>
      </c>
      <c r="C161" s="988"/>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2503"/>
    </row>
    <row r="162" spans="1:57" ht="4.7" customHeight="1" x14ac:dyDescent="0.2">
      <c r="A162" s="2503"/>
      <c r="B162" s="988"/>
      <c r="C162" s="988"/>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2503"/>
    </row>
    <row r="163" spans="1:57" ht="15" x14ac:dyDescent="0.2">
      <c r="A163" s="2503"/>
      <c r="B163" s="988" t="s">
        <v>1116</v>
      </c>
      <c r="C163" s="988"/>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2503"/>
    </row>
    <row r="164" spans="1:57" ht="15" x14ac:dyDescent="0.2">
      <c r="A164" s="2503"/>
      <c r="B164" s="988" t="s">
        <v>1117</v>
      </c>
      <c r="C164" s="988"/>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s="2503"/>
    </row>
    <row r="165" spans="1:57" ht="15" x14ac:dyDescent="0.2">
      <c r="A165" s="2503"/>
      <c r="B165" s="988" t="s">
        <v>1118</v>
      </c>
      <c r="C165" s="988"/>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s="2503"/>
    </row>
    <row r="166" spans="1:57" ht="15" x14ac:dyDescent="0.2">
      <c r="A166" s="2503"/>
      <c r="B166" s="988" t="s">
        <v>1119</v>
      </c>
      <c r="C166" s="988"/>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s="2503"/>
    </row>
    <row r="167" spans="1:57" ht="15" x14ac:dyDescent="0.2">
      <c r="A167" s="2503"/>
      <c r="B167" s="988" t="s">
        <v>330</v>
      </c>
      <c r="C167" s="988"/>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s="2503"/>
    </row>
    <row r="168" spans="1:57" ht="15" x14ac:dyDescent="0.2">
      <c r="A168" s="2503"/>
      <c r="B168" s="988" t="s">
        <v>1120</v>
      </c>
      <c r="C168" s="98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s="2503"/>
    </row>
    <row r="169" spans="1:57" ht="15" x14ac:dyDescent="0.2">
      <c r="A169" s="2503"/>
      <c r="B169" s="988" t="s">
        <v>331</v>
      </c>
      <c r="C169" s="988"/>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s="2503"/>
    </row>
    <row r="170" spans="1:57" ht="15.75" x14ac:dyDescent="0.25">
      <c r="A170" s="2503"/>
      <c r="B170" s="988" t="s">
        <v>385</v>
      </c>
      <c r="C170" s="988"/>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2503"/>
    </row>
    <row r="171" spans="1:57" ht="15" x14ac:dyDescent="0.2">
      <c r="A171" s="2503"/>
      <c r="B171" s="988" t="s">
        <v>1121</v>
      </c>
      <c r="C171" s="988"/>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s="2503"/>
    </row>
    <row r="172" spans="1:57" ht="15" x14ac:dyDescent="0.2">
      <c r="A172" s="2503"/>
      <c r="B172" s="988" t="s">
        <v>1122</v>
      </c>
      <c r="C172" s="988"/>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s="2503"/>
    </row>
    <row r="173" spans="1:57" ht="15.75" x14ac:dyDescent="0.25">
      <c r="A173" s="2503"/>
      <c r="B173" s="988" t="s">
        <v>1312</v>
      </c>
      <c r="C173" s="988"/>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s="2503"/>
    </row>
    <row r="174" spans="1:57" ht="15" x14ac:dyDescent="0.2">
      <c r="A174" s="2503"/>
      <c r="B174" s="988" t="s">
        <v>1311</v>
      </c>
      <c r="C174" s="988"/>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s="2503"/>
    </row>
    <row r="175" spans="1:57" ht="15" x14ac:dyDescent="0.2">
      <c r="A175" s="2503"/>
      <c r="B175" s="988" t="s">
        <v>1123</v>
      </c>
      <c r="C175" s="988"/>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s="2503"/>
    </row>
    <row r="176" spans="1:57" ht="15" x14ac:dyDescent="0.2">
      <c r="A176" s="2503"/>
      <c r="B176" s="988" t="s">
        <v>1124</v>
      </c>
      <c r="C176" s="988"/>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s="2503"/>
    </row>
    <row r="177" spans="1:57" ht="15.75" x14ac:dyDescent="0.25">
      <c r="A177" s="2503"/>
      <c r="B177" s="988" t="s">
        <v>341</v>
      </c>
      <c r="C177" s="988"/>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s="2503"/>
    </row>
    <row r="178" spans="1:57" ht="15" x14ac:dyDescent="0.2">
      <c r="A178" s="2503"/>
      <c r="B178" s="988" t="s">
        <v>1126</v>
      </c>
      <c r="C178" s="98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s="2503"/>
    </row>
    <row r="179" spans="1:57" ht="15" x14ac:dyDescent="0.2">
      <c r="A179" s="2503"/>
      <c r="B179" s="2541" t="s">
        <v>1127</v>
      </c>
      <c r="C179" s="988"/>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s="2503"/>
    </row>
    <row r="180" spans="1:57" ht="15" x14ac:dyDescent="0.2">
      <c r="A180" s="2503"/>
      <c r="B180" s="988" t="s">
        <v>1128</v>
      </c>
      <c r="C180" s="988"/>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s="2503"/>
    </row>
    <row r="181" spans="1:57" ht="15.75" x14ac:dyDescent="0.25">
      <c r="A181" s="2503"/>
      <c r="B181" s="988" t="s">
        <v>1486</v>
      </c>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s="2503"/>
    </row>
    <row r="182" spans="1:57" ht="16.149999999999999" customHeight="1" x14ac:dyDescent="0.2">
      <c r="A182" s="2503"/>
      <c r="B182" s="988" t="s">
        <v>386</v>
      </c>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s="2503"/>
    </row>
    <row r="183" spans="1:57" ht="16.149999999999999" customHeight="1" x14ac:dyDescent="0.2">
      <c r="A183" s="2503"/>
      <c r="B183" s="988" t="s">
        <v>387</v>
      </c>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s="2503"/>
    </row>
    <row r="184" spans="1:57" ht="24.75" customHeight="1" x14ac:dyDescent="0.25">
      <c r="A184" s="2503"/>
      <c r="B184" s="988" t="s">
        <v>293</v>
      </c>
      <c r="C184" s="988"/>
      <c r="D184" s="988"/>
      <c r="E184" s="988"/>
      <c r="F184" s="988"/>
      <c r="G184" s="988"/>
      <c r="H184" s="988"/>
      <c r="I184" s="988"/>
      <c r="J184" s="988"/>
      <c r="K184" s="988"/>
      <c r="L184" s="988"/>
      <c r="M184" s="988"/>
      <c r="N184" s="988"/>
      <c r="O184" s="988"/>
      <c r="P184" s="988"/>
      <c r="Q184" s="988"/>
      <c r="R184" s="988"/>
      <c r="S184" s="988"/>
      <c r="T184" s="988"/>
      <c r="U184" s="988"/>
      <c r="V184" s="988"/>
      <c r="W184" s="988"/>
      <c r="X184" s="988"/>
      <c r="Y184" s="988"/>
      <c r="Z184" s="988"/>
      <c r="AA184" s="988"/>
      <c r="AB184" s="988"/>
      <c r="AC184" s="988"/>
      <c r="AD184" s="988"/>
      <c r="AE184" s="988"/>
      <c r="AF184" s="988"/>
      <c r="AG184" s="988"/>
      <c r="AH184" s="988"/>
      <c r="AI184" s="988"/>
      <c r="AJ184" s="988"/>
      <c r="AK184" s="988"/>
      <c r="AL184" s="988"/>
      <c r="AM184" s="988"/>
      <c r="AN184" s="988"/>
      <c r="AO184" s="988"/>
      <c r="AP184" s="988"/>
      <c r="AQ184" s="988"/>
      <c r="AR184" s="988"/>
      <c r="AS184" s="988"/>
      <c r="AT184" s="988"/>
      <c r="AU184" s="988"/>
      <c r="AV184" s="988"/>
      <c r="AW184" s="988"/>
      <c r="AX184" s="988"/>
      <c r="AY184" s="988"/>
      <c r="AZ184" s="988"/>
      <c r="BA184" s="988"/>
      <c r="BB184" s="988"/>
      <c r="BC184" s="988"/>
      <c r="BD184" s="988"/>
      <c r="BE184" s="2503"/>
    </row>
    <row r="185" spans="1:57" ht="33.6" customHeight="1" x14ac:dyDescent="0.2">
      <c r="A185" s="2503"/>
      <c r="B185" s="3928" t="s">
        <v>294</v>
      </c>
      <c r="C185" s="3928"/>
      <c r="D185" s="3928"/>
      <c r="E185" s="3928"/>
      <c r="F185" s="3928"/>
      <c r="G185" s="3928"/>
      <c r="H185" s="3928"/>
      <c r="I185" s="3928"/>
      <c r="J185" s="3928"/>
      <c r="K185" s="3928"/>
      <c r="L185" s="3928"/>
      <c r="M185" s="3928"/>
      <c r="N185" s="3928"/>
      <c r="O185" s="3928"/>
      <c r="P185" s="3928"/>
      <c r="Q185" s="3928"/>
      <c r="R185" s="3928"/>
      <c r="S185" s="3928"/>
      <c r="T185" s="3928"/>
      <c r="U185" s="3928"/>
      <c r="V185" s="3928"/>
      <c r="W185" s="3928"/>
      <c r="X185" s="3928"/>
      <c r="Y185" s="3928"/>
      <c r="Z185" s="3928"/>
      <c r="AA185" s="3928"/>
      <c r="AB185" s="3928"/>
      <c r="AC185" s="3928"/>
      <c r="AD185" s="3928"/>
      <c r="AE185" s="3928"/>
      <c r="AF185" s="3928"/>
      <c r="AG185" s="3928"/>
      <c r="AH185" s="3928"/>
      <c r="AI185" s="3928"/>
      <c r="AJ185" s="3928"/>
      <c r="AK185" s="3928"/>
      <c r="AL185" s="3928"/>
      <c r="AM185" s="3928"/>
      <c r="AN185" s="3928"/>
      <c r="AO185" s="3928"/>
      <c r="AP185" s="3928"/>
      <c r="AQ185" s="3928"/>
      <c r="AR185" s="3928"/>
      <c r="AS185" s="3928"/>
      <c r="AT185" s="3928"/>
      <c r="AU185" s="3928"/>
      <c r="AV185" s="3928"/>
      <c r="AW185" s="3928"/>
      <c r="AX185" s="3928"/>
      <c r="AY185" s="3928"/>
      <c r="AZ185" s="3928"/>
      <c r="BA185" s="3928"/>
      <c r="BB185" s="3928"/>
      <c r="BC185" s="3928"/>
      <c r="BD185" s="3928"/>
      <c r="BE185" s="2503"/>
    </row>
    <row r="186" spans="1:57" ht="26.1" customHeight="1" x14ac:dyDescent="0.2">
      <c r="A186" s="2503"/>
      <c r="B186" s="3931" t="s">
        <v>297</v>
      </c>
      <c r="C186" s="3932"/>
      <c r="D186" s="3932"/>
      <c r="E186" s="3932"/>
      <c r="F186" s="3932"/>
      <c r="G186" s="3932"/>
      <c r="H186" s="3932"/>
      <c r="I186" s="3932"/>
      <c r="J186" s="3932"/>
      <c r="K186" s="3932"/>
      <c r="L186" s="3932"/>
      <c r="M186" s="3932"/>
      <c r="N186" s="3932"/>
      <c r="O186" s="3932"/>
      <c r="P186" s="3932"/>
      <c r="Q186" s="3932"/>
      <c r="R186" s="3932"/>
      <c r="S186" s="3932"/>
      <c r="T186" s="3932"/>
      <c r="U186" s="3932"/>
      <c r="V186" s="3932"/>
      <c r="W186" s="3932"/>
      <c r="X186" s="3932"/>
      <c r="Y186" s="3932"/>
      <c r="Z186" s="3932"/>
      <c r="AA186" s="3932"/>
      <c r="AB186" s="3932"/>
      <c r="AC186" s="3932"/>
      <c r="AD186" s="3932"/>
      <c r="AE186" s="3932"/>
      <c r="AF186" s="3932"/>
      <c r="AG186" s="3932"/>
      <c r="AH186" s="3932"/>
      <c r="AI186" s="3932"/>
      <c r="AJ186" s="3932"/>
      <c r="AK186" s="3932"/>
      <c r="AL186" s="3932"/>
      <c r="AM186" s="3932"/>
      <c r="AN186" s="3932"/>
      <c r="AO186" s="3932"/>
      <c r="AP186" s="3932"/>
      <c r="AQ186" s="3932"/>
      <c r="AR186" s="3932"/>
      <c r="AS186" s="3932"/>
      <c r="AT186" s="3932"/>
      <c r="AU186" s="3932"/>
      <c r="AV186" s="3932"/>
      <c r="AW186" s="3932"/>
      <c r="AX186" s="3932"/>
      <c r="AY186" s="3932"/>
      <c r="AZ186" s="3932"/>
      <c r="BA186" s="3932"/>
      <c r="BB186" s="3932"/>
      <c r="BC186" s="3932"/>
      <c r="BD186" s="3932"/>
      <c r="BE186" s="2503"/>
    </row>
    <row r="187" spans="1:57" ht="26.45" customHeight="1" x14ac:dyDescent="0.2">
      <c r="A187" s="2503"/>
      <c r="B187" s="3932"/>
      <c r="C187" s="3932"/>
      <c r="D187" s="3932"/>
      <c r="E187" s="3932"/>
      <c r="F187" s="3932"/>
      <c r="G187" s="3932"/>
      <c r="H187" s="3932"/>
      <c r="I187" s="3932"/>
      <c r="J187" s="3932"/>
      <c r="K187" s="3932"/>
      <c r="L187" s="3932"/>
      <c r="M187" s="3932"/>
      <c r="N187" s="3932"/>
      <c r="O187" s="3932"/>
      <c r="P187" s="3932"/>
      <c r="Q187" s="3932"/>
      <c r="R187" s="3932"/>
      <c r="S187" s="3932"/>
      <c r="T187" s="3932"/>
      <c r="U187" s="3932"/>
      <c r="V187" s="3932"/>
      <c r="W187" s="3932"/>
      <c r="X187" s="3932"/>
      <c r="Y187" s="3932"/>
      <c r="Z187" s="3932"/>
      <c r="AA187" s="3932"/>
      <c r="AB187" s="3932"/>
      <c r="AC187" s="3932"/>
      <c r="AD187" s="3932"/>
      <c r="AE187" s="3932"/>
      <c r="AF187" s="3932"/>
      <c r="AG187" s="3932"/>
      <c r="AH187" s="3932"/>
      <c r="AI187" s="3932"/>
      <c r="AJ187" s="3932"/>
      <c r="AK187" s="3932"/>
      <c r="AL187" s="3932"/>
      <c r="AM187" s="3932"/>
      <c r="AN187" s="3932"/>
      <c r="AO187" s="3932"/>
      <c r="AP187" s="3932"/>
      <c r="AQ187" s="3932"/>
      <c r="AR187" s="3932"/>
      <c r="AS187" s="3932"/>
      <c r="AT187" s="3932"/>
      <c r="AU187" s="3932"/>
      <c r="AV187" s="3932"/>
      <c r="AW187" s="3932"/>
      <c r="AX187" s="3932"/>
      <c r="AY187" s="3932"/>
      <c r="AZ187" s="3932"/>
      <c r="BA187" s="3932"/>
      <c r="BB187" s="3932"/>
      <c r="BC187" s="3932"/>
      <c r="BD187" s="3932"/>
      <c r="BE187" s="2503"/>
    </row>
    <row r="188" spans="1:57" ht="15.75" x14ac:dyDescent="0.25">
      <c r="A188" s="2503"/>
      <c r="B188" s="2541" t="s">
        <v>298</v>
      </c>
      <c r="C188" s="988"/>
      <c r="D188" s="988"/>
      <c r="E188" s="988"/>
      <c r="F188" s="988"/>
      <c r="G188" s="988"/>
      <c r="H188" s="988"/>
      <c r="I188" s="988"/>
      <c r="J188" s="988"/>
      <c r="K188" s="988"/>
      <c r="L188" s="988"/>
      <c r="M188" s="988"/>
      <c r="N188" s="988"/>
      <c r="O188" s="988"/>
      <c r="P188" s="988"/>
      <c r="Q188" s="988"/>
      <c r="R188" s="988"/>
      <c r="S188" s="988"/>
      <c r="T188" s="988"/>
      <c r="U188" s="988"/>
      <c r="V188" s="988"/>
      <c r="W188" s="988"/>
      <c r="X188" s="988"/>
      <c r="Y188" s="988"/>
      <c r="Z188" s="988"/>
      <c r="AA188" s="988"/>
      <c r="AB188" s="988"/>
      <c r="AC188" s="988"/>
      <c r="AD188" s="988"/>
      <c r="AE188" s="988"/>
      <c r="AF188" s="988"/>
      <c r="AG188" s="988"/>
      <c r="AH188" s="988"/>
      <c r="AI188" s="988"/>
      <c r="AJ188" s="988"/>
      <c r="AK188" s="988"/>
      <c r="AL188" s="988"/>
      <c r="AM188" s="988"/>
      <c r="AN188" s="988"/>
      <c r="AO188" s="988"/>
      <c r="AP188" s="988"/>
      <c r="AQ188" s="988"/>
      <c r="AR188" s="988"/>
      <c r="AS188" s="988"/>
      <c r="AT188" s="988"/>
      <c r="AU188" s="988"/>
      <c r="AV188" s="988"/>
      <c r="AW188" s="988"/>
      <c r="AX188" s="988"/>
      <c r="AY188" s="988"/>
      <c r="AZ188" s="988"/>
      <c r="BA188" s="988"/>
      <c r="BB188" s="988"/>
      <c r="BC188" s="988"/>
      <c r="BD188" s="988"/>
      <c r="BE188" s="2503"/>
    </row>
    <row r="189" spans="1:57" ht="50.25" customHeight="1" x14ac:dyDescent="0.2">
      <c r="A189" s="2503"/>
      <c r="B189" s="3928" t="s">
        <v>318</v>
      </c>
      <c r="C189" s="3933"/>
      <c r="D189" s="3933"/>
      <c r="E189" s="3933"/>
      <c r="F189" s="3933"/>
      <c r="G189" s="3933"/>
      <c r="H189" s="3933"/>
      <c r="I189" s="3933"/>
      <c r="J189" s="3933"/>
      <c r="K189" s="3933"/>
      <c r="L189" s="3933"/>
      <c r="M189" s="3933"/>
      <c r="N189" s="3933"/>
      <c r="O189" s="3933"/>
      <c r="P189" s="3933"/>
      <c r="Q189" s="3933"/>
      <c r="R189" s="3933"/>
      <c r="S189" s="3933"/>
      <c r="T189" s="3933"/>
      <c r="U189" s="3933"/>
      <c r="V189" s="3933"/>
      <c r="W189" s="3933"/>
      <c r="X189" s="3933"/>
      <c r="Y189" s="3933"/>
      <c r="Z189" s="3933"/>
      <c r="AA189" s="3933"/>
      <c r="AB189" s="3933"/>
      <c r="AC189" s="3933"/>
      <c r="AD189" s="3933"/>
      <c r="AE189" s="3933"/>
      <c r="AF189" s="3933"/>
      <c r="AG189" s="3933"/>
      <c r="AH189" s="3933"/>
      <c r="AI189" s="3933"/>
      <c r="AJ189" s="3933"/>
      <c r="AK189" s="3933"/>
      <c r="AL189" s="3933"/>
      <c r="AM189" s="3933"/>
      <c r="AN189" s="3933"/>
      <c r="AO189" s="3933"/>
      <c r="AP189" s="3933"/>
      <c r="AQ189" s="3933"/>
      <c r="AR189" s="3933"/>
      <c r="AS189" s="3933"/>
      <c r="AT189" s="3933"/>
      <c r="AU189" s="3933"/>
      <c r="AV189" s="3933"/>
      <c r="AW189" s="3933"/>
      <c r="AX189" s="3933"/>
      <c r="AY189" s="3933"/>
      <c r="AZ189" s="3933"/>
      <c r="BA189" s="3933"/>
      <c r="BB189" s="3933"/>
      <c r="BC189" s="3933"/>
      <c r="BD189" s="3933"/>
      <c r="BE189" s="2503"/>
    </row>
    <row r="190" spans="1:57" ht="6" customHeight="1" x14ac:dyDescent="0.2">
      <c r="A190" s="2503"/>
      <c r="B190" s="2541"/>
      <c r="C190" s="988"/>
      <c r="D190" s="988"/>
      <c r="E190" s="988"/>
      <c r="F190" s="988"/>
      <c r="G190" s="988"/>
      <c r="H190" s="988"/>
      <c r="I190" s="988"/>
      <c r="J190" s="988"/>
      <c r="K190" s="988"/>
      <c r="L190" s="988"/>
      <c r="M190" s="988"/>
      <c r="N190" s="988"/>
      <c r="O190" s="988"/>
      <c r="P190" s="988"/>
      <c r="Q190" s="988"/>
      <c r="R190" s="988"/>
      <c r="S190" s="988"/>
      <c r="T190" s="988"/>
      <c r="U190" s="988"/>
      <c r="V190" s="988"/>
      <c r="W190" s="988"/>
      <c r="X190" s="988"/>
      <c r="Y190" s="988"/>
      <c r="Z190" s="988"/>
      <c r="AA190" s="988"/>
      <c r="AB190" s="988"/>
      <c r="AC190" s="988"/>
      <c r="AD190" s="988"/>
      <c r="AE190" s="988"/>
      <c r="AF190" s="988"/>
      <c r="AG190" s="988"/>
      <c r="AH190" s="988"/>
      <c r="AI190" s="988"/>
      <c r="AJ190" s="988"/>
      <c r="AK190" s="988"/>
      <c r="AL190" s="988"/>
      <c r="AM190" s="988"/>
      <c r="AN190" s="988"/>
      <c r="AO190" s="988"/>
      <c r="AP190" s="988"/>
      <c r="AQ190" s="988"/>
      <c r="AR190" s="988"/>
      <c r="AS190" s="988"/>
      <c r="AT190" s="988"/>
      <c r="AU190" s="988"/>
      <c r="AV190" s="988"/>
      <c r="AW190" s="988"/>
      <c r="AX190" s="988"/>
      <c r="AY190" s="988"/>
      <c r="AZ190" s="988"/>
      <c r="BA190" s="988"/>
      <c r="BB190" s="988"/>
      <c r="BC190" s="988"/>
      <c r="BD190" s="988"/>
      <c r="BE190" s="2503"/>
    </row>
    <row r="191" spans="1:57" ht="18" customHeight="1" x14ac:dyDescent="0.2">
      <c r="A191" s="2503"/>
      <c r="B191" s="3929" t="s">
        <v>1033</v>
      </c>
      <c r="C191" s="3930"/>
      <c r="D191" s="3930"/>
      <c r="E191" s="3930"/>
      <c r="F191" s="3930"/>
      <c r="G191" s="3930"/>
      <c r="H191" s="3930"/>
      <c r="I191" s="3930"/>
      <c r="J191" s="3930"/>
      <c r="K191" s="3930"/>
      <c r="L191" s="3930"/>
      <c r="M191" s="3930"/>
      <c r="N191" s="3930"/>
      <c r="O191" s="3930"/>
      <c r="P191" s="3930"/>
      <c r="Q191" s="3930"/>
      <c r="R191" s="3930"/>
      <c r="S191" s="3930"/>
      <c r="T191" s="3930"/>
      <c r="U191" s="3930"/>
      <c r="V191" s="3930"/>
      <c r="W191" s="3930"/>
      <c r="X191" s="3930"/>
      <c r="Y191" s="3930"/>
      <c r="Z191" s="3930"/>
      <c r="AA191" s="3930"/>
      <c r="AB191" s="3930"/>
      <c r="AC191" s="3930"/>
      <c r="AD191" s="3930"/>
      <c r="AE191" s="3930"/>
      <c r="AF191" s="3930"/>
      <c r="AG191" s="3930"/>
      <c r="AH191" s="3930"/>
      <c r="AI191" s="3930"/>
      <c r="AJ191" s="3930"/>
      <c r="AK191" s="3930"/>
      <c r="AL191" s="3930"/>
      <c r="AM191" s="3930"/>
      <c r="AN191" s="3930"/>
      <c r="AO191" s="3930"/>
      <c r="AP191" s="3930"/>
      <c r="AQ191" s="3930"/>
      <c r="AR191" s="3930"/>
      <c r="AS191" s="3930"/>
      <c r="AT191" s="3930"/>
      <c r="AU191" s="3930"/>
      <c r="AV191" s="3930"/>
      <c r="AW191" s="3930"/>
      <c r="AX191" s="3930"/>
      <c r="AY191" s="3930"/>
      <c r="AZ191" s="3930"/>
      <c r="BA191" s="3930"/>
      <c r="BB191" s="3930"/>
      <c r="BC191" s="988"/>
      <c r="BD191" s="988"/>
      <c r="BE191" s="2503"/>
    </row>
    <row r="192" spans="1:57" ht="15" x14ac:dyDescent="0.2">
      <c r="A192" s="2503"/>
      <c r="B192" s="2541"/>
      <c r="C192" s="2541"/>
      <c r="D192" s="2541"/>
      <c r="E192" s="2541"/>
      <c r="F192" s="2541"/>
      <c r="G192" s="988"/>
      <c r="H192" s="988"/>
      <c r="I192" s="988"/>
      <c r="J192" s="988"/>
      <c r="K192" s="988"/>
      <c r="L192" s="988"/>
      <c r="M192" s="988"/>
      <c r="N192" s="988"/>
      <c r="O192" s="988"/>
      <c r="P192" s="988"/>
      <c r="Q192" s="988"/>
      <c r="R192" s="988"/>
      <c r="S192" s="988"/>
      <c r="T192" s="988"/>
      <c r="U192" s="988"/>
      <c r="V192" s="988"/>
      <c r="W192" s="988"/>
      <c r="X192" s="988"/>
      <c r="Y192" s="988"/>
      <c r="Z192" s="988"/>
      <c r="AA192" s="988"/>
      <c r="AB192" s="988"/>
      <c r="AC192" s="988"/>
      <c r="AD192" s="988"/>
      <c r="AE192" s="988"/>
      <c r="AF192" s="988"/>
      <c r="AG192" s="988"/>
      <c r="AH192" s="988"/>
      <c r="AI192" s="988"/>
      <c r="AJ192" s="988"/>
      <c r="AK192" s="988"/>
      <c r="AL192" s="988"/>
      <c r="AM192" s="988"/>
      <c r="AN192" s="988"/>
      <c r="AO192" s="988"/>
      <c r="AP192" s="988"/>
      <c r="AQ192" s="988"/>
      <c r="AR192" s="988"/>
      <c r="AS192" s="988"/>
      <c r="AT192" s="988"/>
      <c r="AU192" s="988"/>
      <c r="AV192" s="988"/>
      <c r="AW192" s="988"/>
      <c r="AX192" s="988"/>
      <c r="AY192" s="988"/>
      <c r="AZ192" s="988"/>
      <c r="BA192" s="988"/>
      <c r="BB192" s="988"/>
      <c r="BC192" s="988"/>
      <c r="BD192" s="988"/>
      <c r="BE192" s="2503"/>
    </row>
    <row r="193" spans="1:57" ht="15.75" x14ac:dyDescent="0.25">
      <c r="A193" s="2503"/>
      <c r="B193" s="619" t="s">
        <v>946</v>
      </c>
      <c r="C193" s="988"/>
      <c r="D193" s="988"/>
      <c r="E193" s="988"/>
      <c r="F193" s="988"/>
      <c r="G193" s="988"/>
      <c r="H193" s="988"/>
      <c r="I193" s="988"/>
      <c r="J193" s="988"/>
      <c r="K193" s="988"/>
      <c r="L193" s="988"/>
      <c r="M193" s="988"/>
      <c r="N193" s="988"/>
      <c r="O193" s="988"/>
      <c r="P193" s="988"/>
      <c r="Q193" s="988"/>
      <c r="R193" s="988"/>
      <c r="S193" s="988"/>
      <c r="T193" s="988"/>
      <c r="U193" s="988"/>
      <c r="V193" s="988"/>
      <c r="W193" s="988"/>
      <c r="X193" s="988"/>
      <c r="Y193" s="988"/>
      <c r="Z193" s="988"/>
      <c r="AA193" s="988"/>
      <c r="AB193" s="988"/>
      <c r="AC193" s="988"/>
      <c r="AD193" s="988"/>
      <c r="AE193" s="988"/>
      <c r="AF193" s="988"/>
      <c r="AG193" s="988"/>
      <c r="AH193" s="988"/>
      <c r="AI193" s="988"/>
      <c r="AJ193" s="988"/>
      <c r="AK193" s="988"/>
      <c r="AL193" s="988"/>
      <c r="AM193" s="988"/>
      <c r="AN193" s="988"/>
      <c r="AO193" s="988"/>
      <c r="AP193" s="988"/>
      <c r="AQ193" s="988"/>
      <c r="AR193" s="988"/>
      <c r="AS193" s="988"/>
      <c r="AT193" s="988"/>
      <c r="AU193" s="988"/>
      <c r="AV193" s="988"/>
      <c r="AW193" s="988"/>
      <c r="AX193" s="988"/>
      <c r="AY193" s="988"/>
      <c r="AZ193" s="988"/>
      <c r="BA193" s="988"/>
      <c r="BB193" s="988"/>
      <c r="BC193" s="988"/>
      <c r="BD193" s="988"/>
      <c r="BE193" s="2503"/>
    </row>
    <row r="194" spans="1:57" ht="15.75" x14ac:dyDescent="0.25">
      <c r="A194" s="2503"/>
      <c r="B194" s="619"/>
      <c r="C194" s="988"/>
      <c r="D194" s="988"/>
      <c r="E194" s="988"/>
      <c r="F194" s="988"/>
      <c r="G194" s="988"/>
      <c r="H194" s="988"/>
      <c r="I194" s="988"/>
      <c r="J194" s="988"/>
      <c r="K194" s="988"/>
      <c r="L194" s="988"/>
      <c r="M194" s="988"/>
      <c r="N194" s="988"/>
      <c r="O194" s="988"/>
      <c r="P194" s="988"/>
      <c r="Q194" s="988"/>
      <c r="R194" s="988"/>
      <c r="S194" s="988"/>
      <c r="T194" s="988"/>
      <c r="U194" s="988"/>
      <c r="V194" s="988"/>
      <c r="W194" s="988"/>
      <c r="X194" s="988"/>
      <c r="Y194" s="988"/>
      <c r="Z194" s="988"/>
      <c r="AA194" s="988"/>
      <c r="AB194" s="988"/>
      <c r="AC194" s="988"/>
      <c r="AD194" s="988"/>
      <c r="AE194" s="988"/>
      <c r="AF194" s="988"/>
      <c r="AG194" s="988"/>
      <c r="AH194" s="988"/>
      <c r="AI194" s="988"/>
      <c r="AJ194" s="988"/>
      <c r="AK194" s="988"/>
      <c r="AL194" s="988"/>
      <c r="AM194" s="988"/>
      <c r="AN194" s="988"/>
      <c r="AO194" s="988"/>
      <c r="AP194" s="988"/>
      <c r="AQ194" s="988"/>
      <c r="AR194" s="988"/>
      <c r="AS194" s="988"/>
      <c r="AT194" s="988"/>
      <c r="AU194" s="988"/>
      <c r="AV194" s="988"/>
      <c r="AW194" s="988"/>
      <c r="AX194" s="988"/>
      <c r="AY194" s="988"/>
      <c r="AZ194" s="988"/>
      <c r="BA194" s="988"/>
      <c r="BB194" s="988"/>
      <c r="BC194" s="988"/>
      <c r="BD194" s="988"/>
      <c r="BE194" s="2503"/>
    </row>
    <row r="195" spans="1:57" ht="15" x14ac:dyDescent="0.2">
      <c r="A195" s="2503"/>
      <c r="B195" s="988" t="s">
        <v>1034</v>
      </c>
      <c r="C195" s="988"/>
      <c r="D195" s="988"/>
      <c r="E195" s="988"/>
      <c r="F195" s="988"/>
      <c r="G195" s="988"/>
      <c r="H195" s="988"/>
      <c r="I195" s="988"/>
      <c r="J195" s="988"/>
      <c r="K195" s="988"/>
      <c r="L195" s="988"/>
      <c r="M195" s="988"/>
      <c r="N195" s="988"/>
      <c r="O195" s="988"/>
      <c r="P195" s="988"/>
      <c r="Q195" s="988"/>
      <c r="R195" s="988"/>
      <c r="S195" s="988"/>
      <c r="T195" s="988"/>
      <c r="U195" s="988"/>
      <c r="V195" s="988"/>
      <c r="W195" s="988"/>
      <c r="X195" s="988"/>
      <c r="Y195" s="988"/>
      <c r="Z195" s="988"/>
      <c r="AA195" s="988"/>
      <c r="AB195" s="988"/>
      <c r="AC195" s="988"/>
      <c r="AD195" s="988"/>
      <c r="AE195" s="988"/>
      <c r="AF195" s="988"/>
      <c r="AG195" s="988"/>
      <c r="AH195" s="988"/>
      <c r="AI195" s="988"/>
      <c r="AJ195" s="988"/>
      <c r="AK195" s="988"/>
      <c r="AL195" s="988"/>
      <c r="AM195" s="988"/>
      <c r="AN195" s="988"/>
      <c r="AO195" s="988"/>
      <c r="AP195" s="988"/>
      <c r="AQ195" s="988"/>
      <c r="AR195" s="988"/>
      <c r="AS195" s="988"/>
      <c r="AT195" s="988"/>
      <c r="AU195" s="988"/>
      <c r="AV195" s="988"/>
      <c r="AW195" s="988"/>
      <c r="AX195" s="988"/>
      <c r="AY195" s="988"/>
      <c r="AZ195" s="988"/>
      <c r="BA195" s="988"/>
      <c r="BB195" s="988"/>
      <c r="BC195" s="988"/>
      <c r="BD195" s="988"/>
      <c r="BE195" s="2503"/>
    </row>
    <row r="196" spans="1:57" ht="15" x14ac:dyDescent="0.2">
      <c r="A196" s="2503"/>
      <c r="B196" s="2541" t="s">
        <v>1035</v>
      </c>
      <c r="C196" s="2541"/>
      <c r="D196" s="988"/>
      <c r="E196" s="988"/>
      <c r="F196" s="988"/>
      <c r="G196" s="988"/>
      <c r="H196" s="988"/>
      <c r="I196" s="988"/>
      <c r="J196" s="988"/>
      <c r="K196" s="988"/>
      <c r="L196" s="988"/>
      <c r="M196" s="988"/>
      <c r="N196" s="988"/>
      <c r="O196" s="988"/>
      <c r="P196" s="988"/>
      <c r="Q196" s="988"/>
      <c r="R196" s="988"/>
      <c r="S196" s="988"/>
      <c r="T196" s="988"/>
      <c r="U196" s="988"/>
      <c r="V196" s="988"/>
      <c r="W196" s="988"/>
      <c r="X196" s="988"/>
      <c r="Y196" s="988"/>
      <c r="Z196" s="988"/>
      <c r="AA196" s="988"/>
      <c r="AB196" s="988"/>
      <c r="AC196" s="988"/>
      <c r="AD196" s="988"/>
      <c r="AE196" s="988"/>
      <c r="AF196" s="988"/>
      <c r="AG196" s="988"/>
      <c r="AH196" s="988"/>
      <c r="AI196" s="988"/>
      <c r="AJ196" s="988"/>
      <c r="AK196" s="988"/>
      <c r="AL196" s="988"/>
      <c r="AM196" s="988"/>
      <c r="AN196" s="988"/>
      <c r="AO196" s="988"/>
      <c r="AP196" s="988"/>
      <c r="AQ196" s="988"/>
      <c r="AR196" s="988"/>
      <c r="AS196" s="988"/>
      <c r="AT196" s="988"/>
      <c r="AU196" s="988"/>
      <c r="AV196" s="988"/>
      <c r="AW196" s="988"/>
      <c r="AX196" s="988"/>
      <c r="AY196" s="988"/>
      <c r="AZ196" s="988"/>
      <c r="BA196" s="988"/>
      <c r="BB196" s="988"/>
      <c r="BC196" s="988"/>
      <c r="BD196" s="988"/>
      <c r="BE196" s="2503"/>
    </row>
    <row r="197" spans="1:57" ht="16.5" x14ac:dyDescent="0.25">
      <c r="A197" s="2503"/>
      <c r="B197" s="962"/>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s="2503"/>
    </row>
    <row r="198" spans="1:57" ht="16.5" x14ac:dyDescent="0.25">
      <c r="A198" s="2503"/>
      <c r="B198" s="962"/>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s="2503"/>
    </row>
    <row r="199" spans="1:57" ht="18" x14ac:dyDescent="0.25">
      <c r="A199" s="2503"/>
      <c r="B199" s="594" t="s">
        <v>595</v>
      </c>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s="2503"/>
    </row>
    <row r="200" spans="1:57" ht="16.5" x14ac:dyDescent="0.25">
      <c r="A200" s="2503"/>
      <c r="B200" s="963"/>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s="2503"/>
    </row>
    <row r="201" spans="1:57" ht="18" x14ac:dyDescent="0.25">
      <c r="A201" s="2503"/>
      <c r="B201" s="594" t="s">
        <v>947</v>
      </c>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s="2503"/>
    </row>
    <row r="202" spans="1:57" x14ac:dyDescent="0.2">
      <c r="A202" s="2503"/>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s="2503"/>
    </row>
    <row r="203" spans="1:57" ht="15.75" x14ac:dyDescent="0.25">
      <c r="A203" s="2503"/>
      <c r="B203" s="2542" t="s">
        <v>333</v>
      </c>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s="2503"/>
    </row>
    <row r="204" spans="1:57" ht="18" x14ac:dyDescent="0.25">
      <c r="A204" s="2503"/>
      <c r="B204" s="988" t="s">
        <v>713</v>
      </c>
      <c r="D204" s="59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s="2503"/>
    </row>
    <row r="205" spans="1:57" ht="15.75" x14ac:dyDescent="0.25">
      <c r="A205" s="2503"/>
      <c r="B205" s="619" t="s">
        <v>1314</v>
      </c>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s="2503"/>
    </row>
    <row r="206" spans="1:57" ht="15" x14ac:dyDescent="0.2">
      <c r="A206" s="2503"/>
      <c r="B206" s="988" t="s">
        <v>1313</v>
      </c>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s="2503"/>
    </row>
    <row r="207" spans="1:57" ht="15.75" x14ac:dyDescent="0.25">
      <c r="A207" s="2503"/>
      <c r="B207" s="2541" t="s">
        <v>336</v>
      </c>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s="2503"/>
    </row>
    <row r="208" spans="1:57" ht="15" x14ac:dyDescent="0.2">
      <c r="A208" s="2503"/>
      <c r="B208" s="988" t="s">
        <v>714</v>
      </c>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s="2503"/>
    </row>
    <row r="209" spans="1:57" ht="15.75" x14ac:dyDescent="0.25">
      <c r="A209" s="2503"/>
      <c r="B209" s="619" t="s">
        <v>1315</v>
      </c>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s="2503"/>
    </row>
    <row r="210" spans="1:57" ht="15" x14ac:dyDescent="0.2">
      <c r="A210" s="2503"/>
      <c r="B210" s="988" t="s">
        <v>1316</v>
      </c>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s="2503"/>
    </row>
    <row r="211" spans="1:57" x14ac:dyDescent="0.2">
      <c r="A211" s="2503"/>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s="2503"/>
    </row>
    <row r="212" spans="1:57" x14ac:dyDescent="0.2">
      <c r="A212" s="2503"/>
      <c r="BE212" s="2503"/>
    </row>
    <row r="213" spans="1:57" ht="18" x14ac:dyDescent="0.25">
      <c r="A213" s="2503"/>
      <c r="B213" s="964" t="s">
        <v>396</v>
      </c>
      <c r="BE213" s="2503"/>
    </row>
    <row r="214" spans="1:57" x14ac:dyDescent="0.2">
      <c r="A214" s="2503"/>
      <c r="BE214" s="2503"/>
    </row>
    <row r="215" spans="1:57" ht="18" x14ac:dyDescent="0.25">
      <c r="A215" s="2503"/>
      <c r="B215" s="961" t="s">
        <v>596</v>
      </c>
      <c r="BE215" s="2503"/>
    </row>
    <row r="216" spans="1:57" ht="3.2" customHeight="1" x14ac:dyDescent="0.25">
      <c r="A216" s="2503"/>
      <c r="B216" s="961"/>
      <c r="BE216" s="2503"/>
    </row>
    <row r="217" spans="1:57" ht="15.75" x14ac:dyDescent="0.25">
      <c r="A217" s="2503"/>
      <c r="B217" s="2542" t="s">
        <v>332</v>
      </c>
      <c r="BE217" s="2503"/>
    </row>
    <row r="218" spans="1:57" ht="15" x14ac:dyDescent="0.2">
      <c r="A218" s="2503"/>
      <c r="B218" s="2541" t="s">
        <v>715</v>
      </c>
      <c r="BE218" s="2503"/>
    </row>
    <row r="219" spans="1:57" ht="15" x14ac:dyDescent="0.2">
      <c r="A219" s="2503"/>
      <c r="B219" s="2541"/>
      <c r="BE219" s="2503"/>
    </row>
    <row r="220" spans="1:57" ht="15.75" x14ac:dyDescent="0.25">
      <c r="A220" s="2503"/>
      <c r="B220" s="2542" t="s">
        <v>337</v>
      </c>
      <c r="BE220" s="2503"/>
    </row>
    <row r="221" spans="1:57" ht="15" x14ac:dyDescent="0.2">
      <c r="A221" s="2503"/>
      <c r="B221" s="2541" t="s">
        <v>716</v>
      </c>
      <c r="BE221" s="2503"/>
    </row>
    <row r="222" spans="1:57" ht="15.75" x14ac:dyDescent="0.25">
      <c r="A222" s="2503"/>
      <c r="B222" s="2541" t="s">
        <v>339</v>
      </c>
      <c r="BE222" s="2503"/>
    </row>
    <row r="223" spans="1:57" ht="15" x14ac:dyDescent="0.2">
      <c r="A223" s="2503"/>
      <c r="B223" s="2541" t="s">
        <v>717</v>
      </c>
      <c r="BE223" s="2503"/>
    </row>
    <row r="224" spans="1:57" ht="15.75" x14ac:dyDescent="0.25">
      <c r="A224" s="2503"/>
      <c r="B224" s="2542" t="s">
        <v>340</v>
      </c>
      <c r="BE224" s="2503"/>
    </row>
    <row r="225" spans="1:57" ht="15" x14ac:dyDescent="0.2">
      <c r="A225" s="2503"/>
      <c r="B225" s="2541" t="s">
        <v>718</v>
      </c>
      <c r="BE225" s="2503"/>
    </row>
    <row r="226" spans="1:57" x14ac:dyDescent="0.2">
      <c r="A226" s="2503"/>
      <c r="BE226" s="2503"/>
    </row>
    <row r="227" spans="1:57" x14ac:dyDescent="0.2">
      <c r="A227" s="2503"/>
      <c r="BE227" s="2503"/>
    </row>
    <row r="228" spans="1:57" ht="18" x14ac:dyDescent="0.25">
      <c r="A228" s="2503"/>
      <c r="B228" s="964" t="s">
        <v>1094</v>
      </c>
      <c r="BE228" s="2503"/>
    </row>
    <row r="229" spans="1:57" ht="71.45" customHeight="1" x14ac:dyDescent="0.2">
      <c r="A229" s="2503"/>
      <c r="B229" s="3928" t="s">
        <v>280</v>
      </c>
      <c r="C229" s="3928"/>
      <c r="D229" s="3928"/>
      <c r="E229" s="3928"/>
      <c r="F229" s="3928"/>
      <c r="G229" s="3928"/>
      <c r="H229" s="3928"/>
      <c r="I229" s="3928"/>
      <c r="J229" s="3928"/>
      <c r="K229" s="3928"/>
      <c r="L229" s="3928"/>
      <c r="M229" s="3928"/>
      <c r="N229" s="3928"/>
      <c r="O229" s="3928"/>
      <c r="P229" s="3928"/>
      <c r="Q229" s="3928"/>
      <c r="R229" s="3928"/>
      <c r="S229" s="3928"/>
      <c r="T229" s="3928"/>
      <c r="U229" s="3928"/>
      <c r="V229" s="3928"/>
      <c r="W229" s="3928"/>
      <c r="X229" s="3928"/>
      <c r="Y229" s="3928"/>
      <c r="Z229" s="3928"/>
      <c r="AA229" s="3928"/>
      <c r="AB229" s="3928"/>
      <c r="AC229" s="3928"/>
      <c r="AD229" s="3928"/>
      <c r="AE229" s="3928"/>
      <c r="AF229" s="3928"/>
      <c r="AG229" s="3928"/>
      <c r="AH229" s="3928"/>
      <c r="AI229" s="3928"/>
      <c r="AJ229" s="3928"/>
      <c r="AK229" s="3928"/>
      <c r="AL229" s="3928"/>
      <c r="AM229" s="3928"/>
      <c r="AN229" s="3928"/>
      <c r="AO229" s="3928"/>
      <c r="AP229" s="3928"/>
      <c r="AQ229" s="3928"/>
      <c r="AR229" s="3928"/>
      <c r="AS229" s="3928"/>
      <c r="AT229" s="3928"/>
      <c r="AU229" s="3928"/>
      <c r="AV229" s="3928"/>
      <c r="AW229" s="3928"/>
      <c r="AX229" s="3928"/>
      <c r="AY229" s="3928"/>
      <c r="AZ229" s="3928"/>
      <c r="BA229" s="3928"/>
      <c r="BB229" s="3928"/>
      <c r="BC229" s="3928"/>
      <c r="BD229" s="3928"/>
      <c r="BE229" s="2503"/>
    </row>
    <row r="230" spans="1:57" ht="30.2" customHeight="1" x14ac:dyDescent="0.25">
      <c r="A230" s="2503"/>
      <c r="B230" s="1688"/>
      <c r="C230" s="1688"/>
      <c r="D230" s="1688"/>
      <c r="E230" s="1688"/>
      <c r="F230" s="1688"/>
      <c r="G230" s="1688"/>
      <c r="H230" s="1688"/>
      <c r="I230" s="1688"/>
      <c r="J230" s="1688"/>
      <c r="K230" s="1688"/>
      <c r="L230" s="1688"/>
      <c r="M230" s="1688"/>
      <c r="N230" s="1688"/>
      <c r="O230" s="1688"/>
      <c r="P230" s="1688"/>
      <c r="Q230" s="1688"/>
      <c r="R230" s="1688"/>
      <c r="S230" s="1688"/>
      <c r="T230" s="1688"/>
      <c r="U230" s="1688"/>
      <c r="V230" s="1688"/>
      <c r="W230" s="1688"/>
      <c r="X230" s="1688"/>
      <c r="Y230" s="1688"/>
      <c r="Z230" s="1688"/>
      <c r="AA230" s="1688"/>
      <c r="AB230" s="1688"/>
      <c r="AC230" s="1688"/>
      <c r="AD230" s="1688"/>
      <c r="AE230" s="1688"/>
      <c r="AF230" s="1688"/>
      <c r="AG230" s="1688"/>
      <c r="AH230" s="1688"/>
      <c r="AI230" s="1688"/>
      <c r="AJ230" s="1688"/>
      <c r="AK230" s="1688"/>
      <c r="AL230" s="1688"/>
      <c r="AM230" s="1688"/>
      <c r="AN230" s="1688"/>
      <c r="AO230" s="1688"/>
      <c r="AP230" s="1688"/>
      <c r="AQ230" s="1688"/>
      <c r="AR230" s="1688"/>
      <c r="AS230" s="1688"/>
      <c r="AT230" s="1688"/>
      <c r="AU230" s="2052" t="s">
        <v>75</v>
      </c>
      <c r="AV230" s="1688"/>
      <c r="AW230" s="1688"/>
      <c r="AX230" s="1688"/>
      <c r="AY230" s="1688"/>
      <c r="AZ230" s="1688"/>
      <c r="BA230" s="1688"/>
      <c r="BE230" s="2503"/>
    </row>
    <row r="231" spans="1:57" x14ac:dyDescent="0.2">
      <c r="A231" s="2503"/>
      <c r="BE231" s="2503"/>
    </row>
    <row r="232" spans="1:57" ht="36.75" customHeight="1" x14ac:dyDescent="0.2">
      <c r="A232" s="2503"/>
      <c r="B232" s="3928" t="s">
        <v>1317</v>
      </c>
      <c r="C232" s="3928"/>
      <c r="D232" s="3928"/>
      <c r="E232" s="3928"/>
      <c r="F232" s="3928"/>
      <c r="G232" s="3928"/>
      <c r="H232" s="3928"/>
      <c r="I232" s="3928"/>
      <c r="J232" s="3928"/>
      <c r="K232" s="3928"/>
      <c r="L232" s="3928"/>
      <c r="M232" s="3928"/>
      <c r="N232" s="3928"/>
      <c r="O232" s="3928"/>
      <c r="P232" s="3928"/>
      <c r="Q232" s="3928"/>
      <c r="R232" s="3928"/>
      <c r="S232" s="3928"/>
      <c r="T232" s="3928"/>
      <c r="U232" s="3928"/>
      <c r="V232" s="3928"/>
      <c r="W232" s="3928"/>
      <c r="X232" s="3928"/>
      <c r="Y232" s="3928"/>
      <c r="Z232" s="3928"/>
      <c r="AA232" s="3928"/>
      <c r="AB232" s="3928"/>
      <c r="AC232" s="3928"/>
      <c r="AD232" s="3928"/>
      <c r="AE232" s="3928"/>
      <c r="AF232" s="3928"/>
      <c r="AG232" s="3928"/>
      <c r="AH232" s="3928"/>
      <c r="AI232" s="3928"/>
      <c r="AJ232" s="3928"/>
      <c r="AK232" s="3928"/>
      <c r="AL232" s="3928"/>
      <c r="AM232" s="3928"/>
      <c r="AN232" s="3928"/>
      <c r="AO232" s="3928"/>
      <c r="AP232" s="3928"/>
      <c r="AQ232" s="3928"/>
      <c r="AR232" s="3928"/>
      <c r="AS232" s="3928"/>
      <c r="AT232" s="3928"/>
      <c r="AU232" s="3928"/>
      <c r="AV232" s="3928"/>
      <c r="AW232" s="3928"/>
      <c r="AX232" s="3928"/>
      <c r="AY232" s="3928"/>
      <c r="AZ232" s="3928"/>
      <c r="BA232" s="3928"/>
      <c r="BB232" s="3928"/>
      <c r="BC232" s="3928"/>
      <c r="BE232" s="2503"/>
    </row>
    <row r="233" spans="1:57" ht="18" x14ac:dyDescent="0.25">
      <c r="A233" s="2503"/>
      <c r="AG233" s="2053" t="s">
        <v>970</v>
      </c>
      <c r="BE233" s="2503"/>
    </row>
    <row r="234" spans="1:57" ht="38.450000000000003" customHeight="1" x14ac:dyDescent="0.2">
      <c r="A234" s="2503"/>
      <c r="B234" s="3928" t="s">
        <v>319</v>
      </c>
      <c r="C234" s="3928"/>
      <c r="D234" s="3928"/>
      <c r="E234" s="3928"/>
      <c r="F234" s="3928"/>
      <c r="G234" s="3928"/>
      <c r="H234" s="3928"/>
      <c r="I234" s="3928"/>
      <c r="J234" s="3928"/>
      <c r="K234" s="3928"/>
      <c r="L234" s="3928"/>
      <c r="M234" s="3928"/>
      <c r="N234" s="3928"/>
      <c r="O234" s="3928"/>
      <c r="P234" s="3928"/>
      <c r="Q234" s="3928"/>
      <c r="R234" s="3928"/>
      <c r="S234" s="3928"/>
      <c r="T234" s="3928"/>
      <c r="U234" s="3928"/>
      <c r="V234" s="3928"/>
      <c r="W234" s="3928"/>
      <c r="X234" s="3928"/>
      <c r="Y234" s="3928"/>
      <c r="Z234" s="3928"/>
      <c r="AA234" s="3928"/>
      <c r="AB234" s="3928"/>
      <c r="AC234" s="3928"/>
      <c r="AD234" s="3928"/>
      <c r="AE234" s="3928"/>
      <c r="AF234" s="3928"/>
      <c r="AG234" s="3928"/>
      <c r="AH234" s="3928"/>
      <c r="AI234" s="3928"/>
      <c r="AJ234" s="3928"/>
      <c r="AK234" s="3928"/>
      <c r="AL234" s="3928"/>
      <c r="AM234" s="3928"/>
      <c r="AN234" s="3928"/>
      <c r="AO234" s="3928"/>
      <c r="AP234" s="3928"/>
      <c r="AQ234" s="3928"/>
      <c r="AR234" s="3928"/>
      <c r="AS234" s="3928"/>
      <c r="AT234" s="3928"/>
      <c r="AU234" s="3928"/>
      <c r="AV234" s="3928"/>
      <c r="AW234" s="3928"/>
      <c r="AX234" s="3928"/>
      <c r="AY234" s="3928"/>
      <c r="AZ234" s="3928"/>
      <c r="BA234" s="3928"/>
      <c r="BB234" s="3928"/>
      <c r="BC234" s="3928"/>
      <c r="BE234" s="2503"/>
    </row>
    <row r="235" spans="1:57" ht="18" x14ac:dyDescent="0.25">
      <c r="A235" s="2503"/>
      <c r="O235" s="2053" t="s">
        <v>970</v>
      </c>
      <c r="BE235" s="2503"/>
    </row>
    <row r="236" spans="1:57" x14ac:dyDescent="0.2">
      <c r="A236" s="2503"/>
      <c r="BE236" s="2503"/>
    </row>
    <row r="237" spans="1:57" x14ac:dyDescent="0.2">
      <c r="A237" s="2503"/>
      <c r="BE237" s="2503"/>
    </row>
    <row r="238" spans="1:57" x14ac:dyDescent="0.2">
      <c r="A238" s="2503"/>
      <c r="B238" s="2503"/>
      <c r="C238" s="2503"/>
      <c r="D238" s="2503"/>
      <c r="E238" s="2503"/>
      <c r="F238" s="2503"/>
      <c r="G238" s="2503"/>
      <c r="H238" s="2503"/>
      <c r="I238" s="2503"/>
      <c r="J238" s="2503"/>
      <c r="K238" s="2503"/>
      <c r="L238" s="2503"/>
      <c r="M238" s="2503"/>
      <c r="N238" s="2503"/>
      <c r="O238" s="2503"/>
      <c r="P238" s="2503"/>
      <c r="Q238" s="2503"/>
      <c r="R238" s="2503"/>
      <c r="S238" s="2503"/>
      <c r="T238" s="2503"/>
      <c r="U238" s="2503"/>
      <c r="V238" s="2503"/>
      <c r="W238" s="2503"/>
      <c r="X238" s="2503"/>
      <c r="Y238" s="2503"/>
      <c r="Z238" s="2503"/>
      <c r="AA238" s="2503"/>
      <c r="AB238" s="2503"/>
      <c r="AC238" s="2503"/>
      <c r="AD238" s="2503"/>
      <c r="AE238" s="2503"/>
      <c r="AF238" s="2503"/>
      <c r="AG238" s="2503"/>
      <c r="AH238" s="2503"/>
      <c r="AI238" s="2503"/>
      <c r="AJ238" s="2503"/>
      <c r="AK238" s="2503"/>
      <c r="AL238" s="2503"/>
      <c r="AM238" s="2503"/>
      <c r="AN238" s="2503"/>
      <c r="AO238" s="2503"/>
      <c r="AP238" s="2503"/>
      <c r="AQ238" s="2503"/>
      <c r="AR238" s="2503"/>
      <c r="AS238" s="2503"/>
      <c r="AT238" s="2503"/>
      <c r="AU238" s="2503"/>
      <c r="AV238" s="2503"/>
      <c r="AW238" s="2503"/>
      <c r="AX238" s="2503"/>
      <c r="AY238" s="2503"/>
      <c r="AZ238" s="2503"/>
      <c r="BA238" s="2503"/>
      <c r="BB238" s="2503"/>
      <c r="BC238" s="2503"/>
      <c r="BD238" s="2503"/>
      <c r="BE238" s="2503"/>
    </row>
  </sheetData>
  <sheetProtection sheet="1" objects="1" scenarios="1"/>
  <mergeCells count="7">
    <mergeCell ref="B232:BC232"/>
    <mergeCell ref="B234:BC234"/>
    <mergeCell ref="B191:BB191"/>
    <mergeCell ref="B185:BD185"/>
    <mergeCell ref="B186:BD187"/>
    <mergeCell ref="B189:BD189"/>
    <mergeCell ref="B229:BD229"/>
  </mergeCells>
  <phoneticPr fontId="0" type="noConversion"/>
  <hyperlinks>
    <hyperlink ref="AU230" location="Strukturentwicklung!A1" display="I"/>
    <hyperlink ref="AG233" location="Preisstatistik!A1" display="N"/>
    <hyperlink ref="O235" location="Kalkulationshilfen!A1" display="N"/>
  </hyperlinks>
  <printOptions horizontalCentered="1"/>
  <pageMargins left="0.51181102362204722" right="0.31496062992125984" top="0.47244094488188981" bottom="0.6692913385826772" header="0.31496062992125984" footer="0.39370078740157483"/>
  <pageSetup paperSize="9" scale="78" firstPageNumber="2" fitToHeight="0" orientation="portrait" useFirstPageNumber="1" r:id="rId1"/>
  <headerFooter alignWithMargins="0">
    <oddFooter>&amp;L&amp;9LEL Schwäbisch Gmünd
&amp;D&amp;C&amp;"Arial,Fett"&amp;P&amp;R&amp;9Kalkulationsdaten Milchviehhaltung;
 Milchkuh &amp;F &amp;A</oddFooter>
  </headerFooter>
  <rowBreaks count="3" manualBreakCount="3">
    <brk id="75" min="1" max="55" man="1"/>
    <brk id="141" min="1" max="55" man="1"/>
    <brk id="191" max="1638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FFFF00"/>
  </sheetPr>
  <dimension ref="A1:BQ184"/>
  <sheetViews>
    <sheetView showGridLines="0" showZeros="0" zoomScaleNormal="100" workbookViewId="0">
      <pane ySplit="1" topLeftCell="A119" activePane="bottomLeft" state="frozen"/>
      <selection activeCell="N4" sqref="N4"/>
      <selection pane="bottomLeft"/>
    </sheetView>
  </sheetViews>
  <sheetFormatPr baseColWidth="10" defaultColWidth="11.5703125" defaultRowHeight="12.75" x14ac:dyDescent="0.2"/>
  <cols>
    <col min="1" max="1" width="2" style="108" customWidth="1"/>
    <col min="2" max="2" width="1.140625" style="130" customWidth="1"/>
    <col min="3" max="3" width="5.7109375" style="130" customWidth="1"/>
    <col min="4" max="4" width="12.5703125" style="130" customWidth="1"/>
    <col min="5" max="5" width="8.7109375" style="130" customWidth="1"/>
    <col min="6" max="6" width="1.28515625" style="130" customWidth="1"/>
    <col min="7" max="7" width="8.7109375" style="130" customWidth="1"/>
    <col min="8" max="8" width="9.5703125" style="120" customWidth="1"/>
    <col min="9" max="9" width="9.42578125" style="120" customWidth="1"/>
    <col min="10" max="13" width="9" style="120" customWidth="1"/>
    <col min="14" max="14" width="8.42578125" style="120" customWidth="1"/>
    <col min="15" max="15" width="11.5703125" style="120" customWidth="1"/>
    <col min="16" max="16" width="13.7109375" style="130" customWidth="1"/>
    <col min="17" max="17" width="3" style="170" customWidth="1"/>
    <col min="18" max="19" width="11.5703125" style="170" customWidth="1"/>
    <col min="20" max="20" width="13.5703125" style="170" customWidth="1"/>
    <col min="21" max="32" width="11.5703125" style="170" customWidth="1"/>
    <col min="33" max="33" width="13.5703125" style="170" customWidth="1"/>
    <col min="34" max="34" width="13.42578125" style="170" customWidth="1"/>
    <col min="35" max="52" width="11.5703125" style="170" customWidth="1"/>
    <col min="53" max="53" width="12.85546875" style="170" customWidth="1"/>
    <col min="54" max="16384" width="11.5703125" style="170"/>
  </cols>
  <sheetData>
    <row r="1" spans="1:44" s="108" customFormat="1" ht="22.15" customHeight="1" x14ac:dyDescent="0.2">
      <c r="A1" s="2503"/>
      <c r="B1" s="2503"/>
      <c r="C1" s="2503"/>
      <c r="D1" s="2503"/>
      <c r="E1" s="2503"/>
      <c r="F1" s="2503"/>
      <c r="G1" s="2503"/>
      <c r="H1" s="2503"/>
      <c r="I1" s="2503"/>
      <c r="J1" s="2503"/>
      <c r="K1" s="2503"/>
      <c r="L1" s="2503"/>
      <c r="M1" s="2503"/>
      <c r="N1" s="2503"/>
      <c r="O1" s="2503"/>
      <c r="P1" s="2503"/>
      <c r="Q1" s="2503"/>
      <c r="R1" s="130"/>
    </row>
    <row r="2" spans="1:44" s="108" customFormat="1" ht="26.45" customHeight="1" x14ac:dyDescent="0.2">
      <c r="A2" s="2503"/>
      <c r="B2" s="525" t="s">
        <v>933</v>
      </c>
      <c r="C2"/>
      <c r="D2" s="168"/>
      <c r="E2" s="168"/>
      <c r="F2" s="168"/>
      <c r="G2" s="168"/>
      <c r="H2" s="170"/>
      <c r="I2" s="170"/>
      <c r="J2" s="170"/>
      <c r="L2" s="527" t="s">
        <v>948</v>
      </c>
      <c r="M2" s="527" t="s">
        <v>395</v>
      </c>
      <c r="N2" s="170"/>
      <c r="O2" s="527"/>
      <c r="P2" s="527" t="s">
        <v>236</v>
      </c>
      <c r="Q2" s="2503"/>
      <c r="R2" s="130"/>
      <c r="AE2" s="3033" t="s">
        <v>1250</v>
      </c>
      <c r="AF2" s="3032"/>
    </row>
    <row r="3" spans="1:44" s="108" customFormat="1" ht="35.450000000000003" customHeight="1" x14ac:dyDescent="0.2">
      <c r="A3" s="2503"/>
      <c r="B3" s="528" t="s">
        <v>949</v>
      </c>
      <c r="P3" s="4"/>
      <c r="Q3" s="2503"/>
      <c r="R3" s="130"/>
    </row>
    <row r="4" spans="1:44" s="108" customFormat="1" ht="22.7" customHeight="1" x14ac:dyDescent="0.2">
      <c r="A4" s="2503"/>
      <c r="B4" s="500" t="s">
        <v>879</v>
      </c>
      <c r="C4" s="164"/>
      <c r="D4" s="3000">
        <f>Deckbl!E22</f>
        <v>44531</v>
      </c>
      <c r="E4" s="172"/>
      <c r="F4" s="172"/>
      <c r="G4" s="172"/>
      <c r="J4"/>
      <c r="K4"/>
      <c r="L4"/>
      <c r="M4"/>
      <c r="N4"/>
      <c r="O4" s="3029" t="s">
        <v>950</v>
      </c>
      <c r="P4" s="979"/>
      <c r="Q4" s="2503"/>
      <c r="R4" s="130"/>
      <c r="S4" s="174"/>
      <c r="T4" s="174"/>
      <c r="U4" s="174"/>
      <c r="V4" s="174"/>
      <c r="W4" s="174"/>
      <c r="X4" s="174"/>
      <c r="AC4" s="174"/>
      <c r="AD4" s="174"/>
      <c r="AE4" s="3034" t="s">
        <v>167</v>
      </c>
      <c r="AF4" s="3025"/>
      <c r="AG4" s="174"/>
      <c r="AH4" s="174"/>
      <c r="AI4" s="174"/>
      <c r="AJ4" s="174"/>
      <c r="AK4" s="174"/>
      <c r="AL4" s="174"/>
      <c r="AM4" s="174"/>
      <c r="AN4" s="174"/>
      <c r="AO4" s="174"/>
      <c r="AP4" s="174"/>
      <c r="AQ4" s="174"/>
      <c r="AR4" s="174"/>
    </row>
    <row r="5" spans="1:44" s="108" customFormat="1" ht="28.5" customHeight="1" x14ac:dyDescent="0.2">
      <c r="A5" s="2503"/>
      <c r="B5" s="279"/>
      <c r="C5" s="278"/>
      <c r="D5"/>
      <c r="E5" s="172"/>
      <c r="F5" s="172"/>
      <c r="G5" s="172"/>
      <c r="H5" s="170"/>
      <c r="J5"/>
      <c r="M5" s="3029" t="s">
        <v>1246</v>
      </c>
      <c r="N5" s="3789"/>
      <c r="O5" s="3790"/>
      <c r="P5" s="3789"/>
      <c r="Q5" s="2503"/>
      <c r="R5" s="130"/>
      <c r="S5" s="174"/>
      <c r="T5" s="174"/>
      <c r="U5" s="174"/>
      <c r="V5" s="174"/>
      <c r="W5" s="174"/>
      <c r="X5" s="174"/>
      <c r="AC5" s="174"/>
      <c r="AD5" s="174"/>
      <c r="AE5" s="3026">
        <f>COLUMNS($AE$5:AE5)</f>
        <v>1</v>
      </c>
      <c r="AF5" s="3027">
        <f>COLUMNS($AE$5:AF5)</f>
        <v>2</v>
      </c>
      <c r="AG5" s="226" t="s">
        <v>1244</v>
      </c>
      <c r="AH5" s="3041">
        <v>5</v>
      </c>
      <c r="AI5" s="3028">
        <f>VLOOKUP(AH5,AE6:AF11,AF5)</f>
        <v>2022</v>
      </c>
      <c r="AK5" s="174"/>
      <c r="AL5" s="174"/>
      <c r="AM5" s="174"/>
      <c r="AN5" s="174"/>
      <c r="AO5" s="174"/>
      <c r="AP5" s="174"/>
      <c r="AQ5" s="174"/>
      <c r="AR5" s="174"/>
    </row>
    <row r="6" spans="1:44" s="108" customFormat="1" ht="36.75" customHeight="1" thickBot="1" x14ac:dyDescent="0.25">
      <c r="A6" s="2503"/>
      <c r="B6" s="990" t="s">
        <v>1245</v>
      </c>
      <c r="C6" s="4"/>
      <c r="D6" s="130"/>
      <c r="E6" s="130"/>
      <c r="F6" s="130"/>
      <c r="G6" s="130"/>
      <c r="H6" s="130"/>
      <c r="I6" s="130"/>
      <c r="J6" s="3"/>
      <c r="K6" s="3"/>
      <c r="L6" s="3"/>
      <c r="M6" s="434"/>
      <c r="N6"/>
      <c r="O6"/>
      <c r="P6" s="363">
        <f>AI5</f>
        <v>2022</v>
      </c>
      <c r="Q6" s="2503"/>
      <c r="S6" s="3115" t="s">
        <v>1323</v>
      </c>
      <c r="T6"/>
      <c r="U6"/>
      <c r="V6"/>
      <c r="W6"/>
      <c r="X6" s="363">
        <v>2016</v>
      </c>
      <c r="Y6" s="363">
        <v>2017</v>
      </c>
      <c r="Z6" s="363">
        <v>2018</v>
      </c>
      <c r="AA6" s="363">
        <v>2021</v>
      </c>
      <c r="AB6" s="363">
        <v>2022</v>
      </c>
      <c r="AC6" s="363">
        <v>2023</v>
      </c>
      <c r="AD6"/>
      <c r="AE6" s="3031">
        <f>ROWS($AE$6:AE6)</f>
        <v>1</v>
      </c>
      <c r="AF6" s="3031">
        <v>2016</v>
      </c>
      <c r="AG6" s="174"/>
      <c r="AI6" s="174"/>
      <c r="AJ6" s="174"/>
      <c r="AK6" s="174"/>
      <c r="AL6" s="174"/>
      <c r="AM6" s="174"/>
      <c r="AN6" s="174"/>
      <c r="AO6" s="174"/>
      <c r="AP6" s="174"/>
      <c r="AQ6" s="174"/>
      <c r="AR6" s="174"/>
    </row>
    <row r="7" spans="1:44" s="108" customFormat="1" ht="27" customHeight="1" thickTop="1" thickBot="1" x14ac:dyDescent="0.25">
      <c r="A7" s="2503"/>
      <c r="B7" s="375"/>
      <c r="C7" s="374" t="s">
        <v>951</v>
      </c>
      <c r="D7" s="368"/>
      <c r="E7" s="368"/>
      <c r="F7" s="368"/>
      <c r="G7" s="368"/>
      <c r="H7" s="369"/>
      <c r="I7" s="369"/>
      <c r="J7" s="369"/>
      <c r="K7" s="369"/>
      <c r="L7" s="369"/>
      <c r="M7" s="369"/>
      <c r="N7" s="2753"/>
      <c r="O7" s="3035" t="str">
        <f>IF($AH$13=2,"(ohne Mwst.)","")</f>
        <v/>
      </c>
      <c r="P7" s="2748">
        <f>IF(AH13=2,0,HLOOKUP($P$6,$X$6:$AC$11,AE7,FALSE))</f>
        <v>9.5000000000000001E-2</v>
      </c>
      <c r="Q7" s="2503"/>
      <c r="S7" s="3774">
        <f>1+P7</f>
        <v>1.095</v>
      </c>
      <c r="T7"/>
      <c r="U7"/>
      <c r="V7"/>
      <c r="W7"/>
      <c r="X7" s="381">
        <v>0.107</v>
      </c>
      <c r="Y7" s="381">
        <v>0.107</v>
      </c>
      <c r="Z7" s="381">
        <v>0.107</v>
      </c>
      <c r="AA7" s="381">
        <v>0.107</v>
      </c>
      <c r="AB7" s="381">
        <v>9.5000000000000001E-2</v>
      </c>
      <c r="AC7" s="381">
        <v>9.5000000000000001E-2</v>
      </c>
      <c r="AD7"/>
      <c r="AE7" s="3031">
        <f>ROWS($AE$6:AE7)</f>
        <v>2</v>
      </c>
      <c r="AF7" s="3031">
        <v>2017</v>
      </c>
      <c r="AG7" s="174"/>
      <c r="AI7" s="174"/>
      <c r="AJ7" s="174"/>
      <c r="AK7" s="174"/>
      <c r="AL7" s="174"/>
      <c r="AM7" s="174"/>
      <c r="AN7" s="174"/>
      <c r="AO7" s="174"/>
      <c r="AP7" s="174"/>
      <c r="AQ7" s="174"/>
      <c r="AR7" s="174"/>
    </row>
    <row r="8" spans="1:44" s="108" customFormat="1" ht="27" customHeight="1" thickTop="1" x14ac:dyDescent="0.2">
      <c r="A8" s="2503"/>
      <c r="B8" s="376"/>
      <c r="C8" s="372" t="s">
        <v>952</v>
      </c>
      <c r="D8" s="370"/>
      <c r="E8" s="370"/>
      <c r="F8" s="370"/>
      <c r="G8" s="370"/>
      <c r="H8" s="371"/>
      <c r="I8" s="371"/>
      <c r="J8" s="371"/>
      <c r="K8" s="371"/>
      <c r="L8" s="371"/>
      <c r="M8" s="371"/>
      <c r="N8" s="2754"/>
      <c r="O8" s="3036" t="str">
        <f>IF($AH$13=2,"(ohne Mwst.)","")</f>
        <v/>
      </c>
      <c r="P8" s="416"/>
      <c r="Q8" s="2503"/>
      <c r="S8" s="3116">
        <f>1+P8</f>
        <v>1</v>
      </c>
      <c r="T8"/>
      <c r="U8"/>
      <c r="V8"/>
      <c r="W8"/>
      <c r="X8" s="416"/>
      <c r="Y8" s="416"/>
      <c r="Z8" s="416"/>
      <c r="AA8" s="416"/>
      <c r="AB8" s="416"/>
      <c r="AC8" s="416"/>
      <c r="AD8"/>
      <c r="AE8" s="3031">
        <f>ROWS($AE$6:AE8)</f>
        <v>3</v>
      </c>
      <c r="AF8" s="3031">
        <v>2018</v>
      </c>
      <c r="AG8" s="174"/>
      <c r="AI8" s="174"/>
      <c r="AJ8" s="174"/>
      <c r="AK8" s="174"/>
      <c r="AL8" s="174"/>
      <c r="AM8" s="174"/>
      <c r="AN8" s="174"/>
      <c r="AO8" s="174"/>
      <c r="AP8" s="174"/>
      <c r="AQ8" s="174"/>
      <c r="AR8" s="174"/>
    </row>
    <row r="9" spans="1:44" s="108" customFormat="1" ht="27" customHeight="1" x14ac:dyDescent="0.2">
      <c r="A9" s="2503"/>
      <c r="B9" s="203"/>
      <c r="C9" s="189"/>
      <c r="D9" s="372" t="s">
        <v>953</v>
      </c>
      <c r="E9" s="28"/>
      <c r="F9" s="28"/>
      <c r="G9" s="373"/>
      <c r="H9" s="371"/>
      <c r="I9" s="371"/>
      <c r="J9" s="371"/>
      <c r="K9" s="371"/>
      <c r="L9" s="371"/>
      <c r="M9" s="371"/>
      <c r="N9" s="2755"/>
      <c r="O9" s="3037" t="str">
        <f>IF($AH$13=2,"(ohne Mwst.)","")</f>
        <v/>
      </c>
      <c r="P9" s="2749">
        <f>IF(AH13=2,0,HLOOKUP($X$6,$T$6:$AC$11,AE9,FALSE))</f>
        <v>7.0000000000000007E-2</v>
      </c>
      <c r="Q9" s="2503"/>
      <c r="S9" s="3116">
        <f>1+P9</f>
        <v>1.07</v>
      </c>
      <c r="T9"/>
      <c r="U9"/>
      <c r="V9"/>
      <c r="W9"/>
      <c r="X9" s="382">
        <v>7.0000000000000007E-2</v>
      </c>
      <c r="Y9" s="382">
        <v>7.0000000000000007E-2</v>
      </c>
      <c r="Z9" s="382">
        <v>7.0000000000000007E-2</v>
      </c>
      <c r="AA9" s="382">
        <v>7.0000000000000007E-2</v>
      </c>
      <c r="AB9" s="382">
        <v>7.0000000000000007E-2</v>
      </c>
      <c r="AC9" s="382">
        <v>7.0000000000000007E-2</v>
      </c>
      <c r="AD9"/>
      <c r="AE9" s="3031">
        <f>ROWS($AE$6:AE9)</f>
        <v>4</v>
      </c>
      <c r="AF9" s="3031">
        <v>2021</v>
      </c>
      <c r="AG9" s="174"/>
      <c r="AI9" s="174"/>
      <c r="AJ9" s="174"/>
      <c r="AK9" s="174"/>
      <c r="AL9" s="174"/>
      <c r="AM9" s="174"/>
      <c r="AN9" s="174"/>
      <c r="AO9" s="174"/>
      <c r="AP9" s="174"/>
      <c r="AQ9" s="174"/>
      <c r="AR9" s="174"/>
    </row>
    <row r="10" spans="1:44" s="108" customFormat="1" ht="27" customHeight="1" x14ac:dyDescent="0.2">
      <c r="A10" s="2503"/>
      <c r="B10" s="203"/>
      <c r="C10" s="189"/>
      <c r="D10" s="372" t="s">
        <v>503</v>
      </c>
      <c r="E10" s="417"/>
      <c r="F10" s="417"/>
      <c r="G10" s="373"/>
      <c r="H10" s="371"/>
      <c r="I10" s="371"/>
      <c r="J10" s="371"/>
      <c r="K10" s="371"/>
      <c r="L10" s="371"/>
      <c r="M10" s="371"/>
      <c r="N10" s="2755"/>
      <c r="O10" s="3037" t="str">
        <f>IF($AH$13=2,"(ohne Mwst.)","")</f>
        <v/>
      </c>
      <c r="P10" s="2749">
        <f>IF(AH13=2,0,HLOOKUP($X$6,$T$6:$AC$11,AE10,FALSE))</f>
        <v>0.19</v>
      </c>
      <c r="Q10" s="2503"/>
      <c r="S10" s="3116">
        <f>1+P10</f>
        <v>1.19</v>
      </c>
      <c r="T10"/>
      <c r="U10"/>
      <c r="V10"/>
      <c r="W10"/>
      <c r="X10" s="382">
        <v>0.19</v>
      </c>
      <c r="Y10" s="382">
        <v>0.19</v>
      </c>
      <c r="Z10" s="382">
        <v>0.19</v>
      </c>
      <c r="AA10" s="382">
        <v>0.19</v>
      </c>
      <c r="AB10" s="382">
        <v>0.19</v>
      </c>
      <c r="AC10" s="382">
        <v>0.19</v>
      </c>
      <c r="AD10"/>
      <c r="AE10" s="3031">
        <f>ROWS($AE$6:AE10)</f>
        <v>5</v>
      </c>
      <c r="AF10" s="3031">
        <v>2022</v>
      </c>
      <c r="AG10" s="174"/>
      <c r="AI10" s="174"/>
      <c r="AJ10" s="174"/>
      <c r="AK10" s="174"/>
      <c r="AL10" s="174"/>
      <c r="AM10" s="174"/>
      <c r="AN10" s="174"/>
      <c r="AO10" s="174"/>
      <c r="AP10" s="174"/>
      <c r="AQ10" s="174"/>
      <c r="AR10" s="174"/>
    </row>
    <row r="11" spans="1:44" s="108" customFormat="1" ht="27" customHeight="1" x14ac:dyDescent="0.2">
      <c r="A11" s="2503"/>
      <c r="B11" s="415"/>
      <c r="C11" s="16"/>
      <c r="D11" s="16"/>
      <c r="E11" s="418" t="s">
        <v>896</v>
      </c>
      <c r="F11" s="418"/>
      <c r="G11" s="16"/>
      <c r="H11" s="16"/>
      <c r="I11" s="16"/>
      <c r="J11" s="16"/>
      <c r="K11" s="16"/>
      <c r="L11" s="16"/>
      <c r="M11" s="16"/>
      <c r="N11" s="2756"/>
      <c r="O11" s="3038" t="str">
        <f>IF($AH$13=2,"(ohne Mwst.)","")</f>
        <v/>
      </c>
      <c r="P11" s="2750">
        <f>IF(AH13=2,0,HLOOKUP($X$6,$T$6:$AC$11,AE11,FALSE))</f>
        <v>0.12</v>
      </c>
      <c r="Q11" s="2503"/>
      <c r="S11" s="3117">
        <f>1+P11</f>
        <v>1.1200000000000001</v>
      </c>
      <c r="T11"/>
      <c r="U11"/>
      <c r="V11"/>
      <c r="W11"/>
      <c r="X11" s="419">
        <v>0.12</v>
      </c>
      <c r="Y11" s="419">
        <v>0.12</v>
      </c>
      <c r="Z11" s="419">
        <v>0.12</v>
      </c>
      <c r="AA11" s="419">
        <v>0.12</v>
      </c>
      <c r="AB11" s="419">
        <v>0.12</v>
      </c>
      <c r="AC11" s="419">
        <v>0.12</v>
      </c>
      <c r="AD11"/>
      <c r="AE11" s="3031">
        <f>ROWS($AE$6:AE11)</f>
        <v>6</v>
      </c>
      <c r="AF11" s="3031">
        <v>2023</v>
      </c>
      <c r="AG11" s="174"/>
      <c r="AI11" s="174"/>
      <c r="AJ11" s="174"/>
      <c r="AK11" s="174"/>
      <c r="AL11" s="174"/>
      <c r="AM11" s="174"/>
      <c r="AN11" s="174"/>
      <c r="AO11" s="174"/>
      <c r="AP11" s="174"/>
      <c r="AQ11" s="174"/>
      <c r="AR11" s="174"/>
    </row>
    <row r="12" spans="1:44" s="108" customFormat="1" ht="17.45" customHeight="1" x14ac:dyDescent="0.2">
      <c r="A12" s="2503"/>
      <c r="B12" s="118"/>
      <c r="C12" s="111" t="s">
        <v>954</v>
      </c>
      <c r="D12" s="189"/>
      <c r="E12"/>
      <c r="F12"/>
      <c r="G12" s="130"/>
      <c r="H12" s="28"/>
      <c r="I12"/>
      <c r="J12"/>
      <c r="K12" s="28"/>
      <c r="L12" s="414"/>
      <c r="M12" s="28"/>
      <c r="N12" s="28"/>
      <c r="O12" s="28"/>
      <c r="P12" s="445"/>
      <c r="Q12" s="2503"/>
      <c r="R12" s="130"/>
      <c r="S12" s="174"/>
      <c r="T12" s="174"/>
      <c r="U12" s="174"/>
      <c r="V12" s="174"/>
      <c r="W12" s="174"/>
      <c r="X12" s="174"/>
      <c r="AC12" s="174"/>
      <c r="AD12" s="174"/>
      <c r="AE12" s="174"/>
      <c r="AF12" s="174"/>
      <c r="AG12" s="174"/>
      <c r="AH12" s="174"/>
      <c r="AI12" s="174"/>
      <c r="AJ12" s="174"/>
      <c r="AK12" s="174"/>
      <c r="AL12" s="174"/>
      <c r="AM12" s="174"/>
      <c r="AN12" s="174"/>
      <c r="AO12" s="174"/>
      <c r="AP12" s="174"/>
      <c r="AQ12" s="174"/>
    </row>
    <row r="13" spans="1:44" s="108" customFormat="1" ht="17.45" customHeight="1" x14ac:dyDescent="0.2">
      <c r="A13" s="2503"/>
      <c r="B13" s="118"/>
      <c r="C13" s="111" t="s">
        <v>602</v>
      </c>
      <c r="D13" s="189"/>
      <c r="E13"/>
      <c r="F13"/>
      <c r="G13" s="130"/>
      <c r="H13" s="28"/>
      <c r="I13"/>
      <c r="J13"/>
      <c r="K13" s="28"/>
      <c r="L13" s="414"/>
      <c r="M13" s="28"/>
      <c r="N13" s="28"/>
      <c r="O13" s="28"/>
      <c r="P13" s="445"/>
      <c r="Q13" s="2503"/>
      <c r="R13" s="130"/>
      <c r="S13" s="174"/>
      <c r="T13" s="174"/>
      <c r="U13" s="174"/>
      <c r="V13" s="174"/>
      <c r="W13" s="174"/>
      <c r="X13" s="174"/>
      <c r="Y13" s="174"/>
      <c r="Z13" s="174"/>
      <c r="AA13" s="174"/>
      <c r="AB13" s="174"/>
      <c r="AC13" s="174"/>
      <c r="AD13" s="174"/>
      <c r="AE13" s="531" t="s">
        <v>1247</v>
      </c>
      <c r="AG13" s="226" t="s">
        <v>1244</v>
      </c>
      <c r="AH13" s="3041">
        <v>1</v>
      </c>
      <c r="AI13" s="3030" t="str">
        <f>VLOOKUP(AH13,AE14:AF15,AF5,FALSE)</f>
        <v>mit Mehrwertsteuer (Pauschalierung)</v>
      </c>
      <c r="AJ13" s="3030"/>
      <c r="AK13" s="3030"/>
      <c r="AL13" s="3030"/>
      <c r="AM13" s="174"/>
      <c r="AN13" s="174"/>
      <c r="AO13" s="174"/>
      <c r="AP13" s="174"/>
      <c r="AQ13" s="174"/>
      <c r="AR13" s="174"/>
    </row>
    <row r="14" spans="1:44" s="108" customFormat="1" ht="15.75" customHeight="1" x14ac:dyDescent="0.2">
      <c r="A14" s="2503"/>
      <c r="B14" s="118"/>
      <c r="C14"/>
      <c r="D14" s="189"/>
      <c r="E14"/>
      <c r="F14"/>
      <c r="G14" s="130"/>
      <c r="H14" s="28"/>
      <c r="I14"/>
      <c r="J14"/>
      <c r="K14" s="28"/>
      <c r="L14" s="414"/>
      <c r="M14" s="28"/>
      <c r="N14" s="28"/>
      <c r="O14" s="28"/>
      <c r="P14" s="445"/>
      <c r="Q14" s="2503"/>
      <c r="R14" s="130"/>
      <c r="S14" s="174"/>
      <c r="T14" s="174"/>
      <c r="U14" s="174"/>
      <c r="V14" s="174"/>
      <c r="W14" s="174"/>
      <c r="X14" s="174"/>
      <c r="Y14" s="174"/>
      <c r="Z14" s="174"/>
      <c r="AA14" s="174"/>
      <c r="AB14" s="174"/>
      <c r="AC14" s="174"/>
      <c r="AD14" s="174"/>
      <c r="AE14" s="3031">
        <f>ROWS($AE$14:AE14)</f>
        <v>1</v>
      </c>
      <c r="AF14" s="531" t="s">
        <v>1248</v>
      </c>
      <c r="AG14" s="174"/>
      <c r="AH14" s="174"/>
      <c r="AI14" s="174"/>
      <c r="AJ14" s="174"/>
      <c r="AK14" s="174"/>
      <c r="AL14" s="174"/>
      <c r="AM14" s="174"/>
      <c r="AN14" s="174"/>
      <c r="AO14" s="174"/>
      <c r="AP14" s="174"/>
      <c r="AQ14" s="174"/>
      <c r="AR14" s="174"/>
    </row>
    <row r="15" spans="1:44" s="108" customFormat="1" ht="23.25" customHeight="1" x14ac:dyDescent="0.2">
      <c r="A15" s="2503"/>
      <c r="B15" s="378" t="s">
        <v>955</v>
      </c>
      <c r="C15"/>
      <c r="D15" s="377"/>
      <c r="E15" s="377"/>
      <c r="F15" s="377"/>
      <c r="G15" s="377"/>
      <c r="H15" s="377"/>
      <c r="I15" s="377"/>
      <c r="J15" s="377"/>
      <c r="K15"/>
      <c r="L15"/>
      <c r="M15"/>
      <c r="N15"/>
      <c r="O15"/>
      <c r="P15" s="420"/>
      <c r="Q15" s="2503"/>
      <c r="R15" s="130"/>
      <c r="S15" s="174"/>
      <c r="T15" s="531"/>
      <c r="U15" s="174"/>
      <c r="V15" s="174"/>
      <c r="W15" s="174"/>
      <c r="X15" s="174"/>
      <c r="Y15" s="174"/>
      <c r="AA15" s="174"/>
      <c r="AB15" s="174"/>
      <c r="AC15" s="174"/>
      <c r="AD15" s="174"/>
      <c r="AE15" s="3031">
        <f>ROWS($AE$14:AE15)</f>
        <v>2</v>
      </c>
      <c r="AF15" s="531" t="s">
        <v>1249</v>
      </c>
      <c r="AG15" s="174"/>
      <c r="AH15" s="174"/>
      <c r="AI15" s="174"/>
      <c r="AJ15" s="174"/>
      <c r="AK15" s="174"/>
      <c r="AL15" s="174"/>
      <c r="AM15" s="174"/>
      <c r="AN15" s="174"/>
      <c r="AO15" s="174"/>
      <c r="AP15" s="174"/>
      <c r="AQ15" s="174"/>
      <c r="AR15" s="174"/>
    </row>
    <row r="16" spans="1:44" s="108" customFormat="1" ht="54" customHeight="1" x14ac:dyDescent="0.2">
      <c r="A16" s="2503"/>
      <c r="B16" s="1706"/>
      <c r="C16" s="611"/>
      <c r="D16" s="1704"/>
      <c r="E16" s="1704"/>
      <c r="F16" s="1704"/>
      <c r="G16" s="1705"/>
      <c r="H16" s="1700" t="s">
        <v>956</v>
      </c>
      <c r="I16" s="179"/>
      <c r="J16" s="179"/>
      <c r="K16" s="179"/>
      <c r="L16" s="179"/>
      <c r="M16" s="179"/>
      <c r="N16" s="3859"/>
      <c r="O16" s="3860" t="s">
        <v>1546</v>
      </c>
      <c r="P16" s="3861" t="str">
        <f>IF($AH$13=1,"Aktuell einschl. Mwst.","Aktuell ohne Mwst.")</f>
        <v>Aktuell einschl. Mwst.</v>
      </c>
      <c r="Q16" s="2503"/>
      <c r="R16" s="130"/>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row>
    <row r="17" spans="1:44" s="108" customFormat="1" ht="21.2" customHeight="1" x14ac:dyDescent="0.2">
      <c r="A17" s="2503"/>
      <c r="B17" s="1706"/>
      <c r="C17" s="199"/>
      <c r="D17" s="1704"/>
      <c r="E17" s="1704"/>
      <c r="F17" s="1704"/>
      <c r="G17" s="1705"/>
      <c r="H17" s="1700" t="s">
        <v>957</v>
      </c>
      <c r="I17" s="281">
        <v>2018</v>
      </c>
      <c r="J17" s="281">
        <v>2019</v>
      </c>
      <c r="K17" s="281">
        <v>2020</v>
      </c>
      <c r="L17" s="281">
        <v>2021</v>
      </c>
      <c r="M17" s="281">
        <v>2022</v>
      </c>
      <c r="N17" s="271" t="s">
        <v>1545</v>
      </c>
      <c r="O17" s="363" t="s">
        <v>958</v>
      </c>
      <c r="P17" s="3865" t="s">
        <v>1545</v>
      </c>
      <c r="Q17" s="2503"/>
      <c r="R17" s="130"/>
      <c r="S17" s="3863">
        <v>2018</v>
      </c>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row>
    <row r="18" spans="1:44" s="108" customFormat="1" ht="20.100000000000001" customHeight="1" x14ac:dyDescent="0.2">
      <c r="A18" s="2503"/>
      <c r="B18" s="1706"/>
      <c r="C18" s="193" t="s">
        <v>1503</v>
      </c>
      <c r="D18" s="1704"/>
      <c r="E18" s="1704"/>
      <c r="F18" s="1704"/>
      <c r="G18" s="1705"/>
      <c r="H18" s="515" t="s">
        <v>959</v>
      </c>
      <c r="I18" s="183" t="s">
        <v>960</v>
      </c>
      <c r="J18" s="183" t="s">
        <v>960</v>
      </c>
      <c r="K18" s="183" t="s">
        <v>960</v>
      </c>
      <c r="L18" s="183" t="s">
        <v>960</v>
      </c>
      <c r="M18" s="183" t="s">
        <v>960</v>
      </c>
      <c r="N18" s="183" t="s">
        <v>960</v>
      </c>
      <c r="O18" s="383" t="s">
        <v>961</v>
      </c>
      <c r="P18" s="184" t="s">
        <v>960</v>
      </c>
      <c r="Q18" s="2503"/>
      <c r="R18" s="130"/>
      <c r="S18" s="3863">
        <v>2019</v>
      </c>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row>
    <row r="19" spans="1:44" s="185" customFormat="1" ht="20.100000000000001" customHeight="1" x14ac:dyDescent="0.2">
      <c r="A19" s="2503"/>
      <c r="B19" s="203"/>
      <c r="C19" s="189" t="s">
        <v>962</v>
      </c>
      <c r="D19" s="189"/>
      <c r="E19" s="189"/>
      <c r="F19" s="28"/>
      <c r="G19" s="189" t="s">
        <v>970</v>
      </c>
      <c r="H19" s="1701">
        <v>3.5</v>
      </c>
      <c r="I19" s="688">
        <v>1</v>
      </c>
      <c r="J19" s="688">
        <v>1</v>
      </c>
      <c r="K19" s="688">
        <v>1</v>
      </c>
      <c r="L19" s="280">
        <v>1.1299999999999999</v>
      </c>
      <c r="M19" s="280">
        <v>2.2999999999999998</v>
      </c>
      <c r="N19" s="3856">
        <f>AVERAGE(K19:M19)</f>
        <v>1.4766666666666666</v>
      </c>
      <c r="O19" s="2708">
        <f>P10*100</f>
        <v>19</v>
      </c>
      <c r="P19" s="285">
        <f>HLOOKUP($P$17,$H$17:$N$22,3)*(1+P10)</f>
        <v>1.7572333333333332</v>
      </c>
      <c r="Q19" s="2503"/>
      <c r="R19" s="130"/>
      <c r="S19" s="3864">
        <v>2020</v>
      </c>
      <c r="X19" s="2832" t="s">
        <v>1251</v>
      </c>
    </row>
    <row r="20" spans="1:44" s="187" customFormat="1" ht="20.100000000000001" customHeight="1" x14ac:dyDescent="0.2">
      <c r="A20" s="2503"/>
      <c r="B20" s="188"/>
      <c r="C20" s="189" t="s">
        <v>295</v>
      </c>
      <c r="D20" s="189"/>
      <c r="E20" s="189"/>
      <c r="F20" s="28"/>
      <c r="G20" s="189" t="s">
        <v>971</v>
      </c>
      <c r="H20" s="1702">
        <v>1.7</v>
      </c>
      <c r="I20" s="456">
        <v>0.8</v>
      </c>
      <c r="J20" s="456">
        <v>0.8</v>
      </c>
      <c r="K20" s="456">
        <v>0.8</v>
      </c>
      <c r="L20" s="264">
        <v>0.9</v>
      </c>
      <c r="M20" s="264">
        <v>1.2</v>
      </c>
      <c r="N20" s="3857">
        <f t="shared" ref="N20:N22" si="0">AVERAGE(K20:M20)</f>
        <v>0.96666666666666679</v>
      </c>
      <c r="O20" s="2709">
        <f>P10*100</f>
        <v>19</v>
      </c>
      <c r="P20" s="286">
        <f>HLOOKUP($P$17,$H$17:$N$22,4)*(1+P10)</f>
        <v>1.1503333333333334</v>
      </c>
      <c r="Q20" s="2503"/>
      <c r="R20" s="130"/>
      <c r="S20" s="3864">
        <v>2021</v>
      </c>
      <c r="X20" s="2832" t="s">
        <v>1255</v>
      </c>
    </row>
    <row r="21" spans="1:44" s="187" customFormat="1" ht="16.5" customHeight="1" x14ac:dyDescent="0.2">
      <c r="A21" s="2503"/>
      <c r="B21" s="188"/>
      <c r="C21" s="189" t="s">
        <v>296</v>
      </c>
      <c r="D21" s="189"/>
      <c r="E21" s="189"/>
      <c r="F21" s="28"/>
      <c r="G21" s="189" t="s">
        <v>972</v>
      </c>
      <c r="H21" s="1702">
        <v>6.4</v>
      </c>
      <c r="I21" s="456">
        <v>0.6</v>
      </c>
      <c r="J21" s="456">
        <v>0.6</v>
      </c>
      <c r="K21" s="456">
        <v>0.6</v>
      </c>
      <c r="L21" s="264">
        <v>0.75</v>
      </c>
      <c r="M21" s="264">
        <v>1.2</v>
      </c>
      <c r="N21" s="264">
        <f t="shared" si="0"/>
        <v>0.85</v>
      </c>
      <c r="O21" s="2709">
        <f>P10*100</f>
        <v>19</v>
      </c>
      <c r="P21" s="286">
        <f>HLOOKUP($P$17,$H$17:$N$22,5)*(1+P10)</f>
        <v>1.0114999999999998</v>
      </c>
      <c r="Q21" s="2503"/>
      <c r="R21" s="130"/>
      <c r="S21" s="3864">
        <v>2022</v>
      </c>
    </row>
    <row r="22" spans="1:44" s="164" customFormat="1" ht="16.5" customHeight="1" x14ac:dyDescent="0.2">
      <c r="A22" s="2503"/>
      <c r="B22" s="23"/>
      <c r="C22" s="190" t="s">
        <v>973</v>
      </c>
      <c r="D22" s="190"/>
      <c r="E22" s="190"/>
      <c r="F22" s="28"/>
      <c r="G22" s="190" t="s">
        <v>974</v>
      </c>
      <c r="H22" s="1703"/>
      <c r="I22" s="2834">
        <v>0.5</v>
      </c>
      <c r="J22" s="2836">
        <v>0.5</v>
      </c>
      <c r="K22" s="2835">
        <v>0.5</v>
      </c>
      <c r="L22" s="2836">
        <v>0.5</v>
      </c>
      <c r="M22" s="2836">
        <v>0.5</v>
      </c>
      <c r="N22" s="3858">
        <f t="shared" si="0"/>
        <v>0.5</v>
      </c>
      <c r="O22" s="2710">
        <f>P10*100</f>
        <v>19</v>
      </c>
      <c r="P22" s="286">
        <f>HLOOKUP($P$17,$H$17:$N$22,6)*(1+P10)</f>
        <v>0.59499999999999997</v>
      </c>
      <c r="Q22" s="2503"/>
      <c r="R22" s="130"/>
      <c r="S22" s="3863" t="s">
        <v>1545</v>
      </c>
    </row>
    <row r="23" spans="1:44" s="164" customFormat="1" ht="21.95" customHeight="1" x14ac:dyDescent="0.2">
      <c r="A23" s="2503"/>
      <c r="B23" s="191"/>
      <c r="C23" s="192" t="s">
        <v>975</v>
      </c>
      <c r="D23" s="193"/>
      <c r="E23" s="193"/>
      <c r="F23" s="193"/>
      <c r="G23" s="1707"/>
      <c r="H23" s="711" t="s">
        <v>976</v>
      </c>
      <c r="I23" s="2837">
        <f t="shared" ref="I23:N23" si="1">$H$19*I19+$H$20*I20+$H$21*I21+$H$22*I22</f>
        <v>8.6999999999999993</v>
      </c>
      <c r="J23" s="2837">
        <f t="shared" si="1"/>
        <v>8.6999999999999993</v>
      </c>
      <c r="K23" s="2837">
        <f t="shared" si="1"/>
        <v>8.6999999999999993</v>
      </c>
      <c r="L23" s="2837">
        <f t="shared" si="1"/>
        <v>10.285</v>
      </c>
      <c r="M23" s="2837">
        <f t="shared" si="1"/>
        <v>17.77</v>
      </c>
      <c r="N23" s="2837">
        <f t="shared" si="1"/>
        <v>12.251666666666667</v>
      </c>
      <c r="O23" s="367"/>
      <c r="P23" s="380">
        <f>$H$19*P19+$H$20*P20+$H$21*P21+$H$22*P22</f>
        <v>14.579483333333332</v>
      </c>
      <c r="Q23" s="2503"/>
      <c r="R23" s="22"/>
    </row>
    <row r="24" spans="1:44" s="164" customFormat="1" ht="18" customHeight="1" x14ac:dyDescent="0.2">
      <c r="A24" s="2503"/>
      <c r="B24" s="22"/>
      <c r="C24" s="175"/>
      <c r="D24" s="22"/>
      <c r="E24" s="22"/>
      <c r="F24" s="22"/>
      <c r="G24" s="22"/>
      <c r="H24" s="22" t="s">
        <v>1578</v>
      </c>
      <c r="I24" s="22"/>
      <c r="J24" s="22"/>
      <c r="K24" s="22"/>
      <c r="L24" s="22">
        <v>1.3</v>
      </c>
      <c r="M24" s="22">
        <v>1.8</v>
      </c>
      <c r="N24" s="22"/>
      <c r="O24" s="22"/>
      <c r="P24" s="22"/>
      <c r="Q24" s="2503"/>
      <c r="R24" s="22"/>
    </row>
    <row r="25" spans="1:44" s="164" customFormat="1" ht="21.2" customHeight="1" x14ac:dyDescent="0.2">
      <c r="A25" s="2503"/>
      <c r="B25" s="191"/>
      <c r="C25" s="1704"/>
      <c r="D25" s="1704"/>
      <c r="E25" s="2546" t="s">
        <v>521</v>
      </c>
      <c r="F25" s="193"/>
      <c r="G25" s="1704"/>
      <c r="H25" s="2547">
        <v>17</v>
      </c>
      <c r="I25" s="193" t="s">
        <v>522</v>
      </c>
      <c r="J25" s="1707"/>
      <c r="K25" s="3006"/>
      <c r="L25" s="22"/>
      <c r="M25" s="22"/>
      <c r="N25" s="22"/>
      <c r="O25" s="22"/>
      <c r="P25" s="22"/>
      <c r="Q25" s="2503"/>
      <c r="R25" s="22"/>
    </row>
    <row r="26" spans="1:44" s="164" customFormat="1" ht="21.2" customHeight="1" x14ac:dyDescent="0.2">
      <c r="A26" s="2503"/>
      <c r="B26" s="22"/>
      <c r="C26" s="130"/>
      <c r="D26" s="130"/>
      <c r="E26" s="1693"/>
      <c r="F26" s="22"/>
      <c r="G26" s="130"/>
      <c r="H26"/>
      <c r="I26" s="22"/>
      <c r="J26" s="22"/>
      <c r="L26" s="22"/>
      <c r="M26" s="22"/>
      <c r="N26" s="22"/>
      <c r="O26" s="22"/>
      <c r="P26" s="22"/>
      <c r="Q26" s="2503"/>
      <c r="R26" s="22"/>
    </row>
    <row r="27" spans="1:44" s="108" customFormat="1" ht="23.25" customHeight="1" x14ac:dyDescent="0.2">
      <c r="A27" s="2503"/>
      <c r="B27" s="176" t="s">
        <v>977</v>
      </c>
      <c r="C27" s="168"/>
      <c r="D27" s="168"/>
      <c r="E27" s="168"/>
      <c r="F27" s="168"/>
      <c r="G27" s="168"/>
      <c r="H27" s="168"/>
      <c r="I27" s="168"/>
      <c r="J27" s="168"/>
      <c r="K27" s="168"/>
      <c r="L27" s="168"/>
      <c r="M27" s="168"/>
      <c r="N27" s="168"/>
      <c r="O27" s="168"/>
      <c r="P27" s="194"/>
      <c r="Q27" s="2503"/>
      <c r="R27" s="130"/>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row>
    <row r="28" spans="1:44" s="108" customFormat="1" ht="22.7" customHeight="1" x14ac:dyDescent="0.2">
      <c r="A28" s="2503"/>
      <c r="B28" s="177"/>
      <c r="C28" s="113"/>
      <c r="D28" s="113"/>
      <c r="E28" s="113"/>
      <c r="F28" s="113"/>
      <c r="G28" s="212"/>
      <c r="H28" s="1708"/>
      <c r="I28" s="1709"/>
      <c r="J28" s="1797"/>
      <c r="K28" s="1797"/>
      <c r="L28" s="208" t="s">
        <v>978</v>
      </c>
      <c r="M28" s="1797"/>
      <c r="N28" s="1797"/>
      <c r="O28" s="179"/>
      <c r="P28" s="3862" t="s">
        <v>979</v>
      </c>
      <c r="Q28" s="2503"/>
      <c r="R28" s="130"/>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row>
    <row r="29" spans="1:44" s="108" customFormat="1" ht="21.2" customHeight="1" x14ac:dyDescent="0.2">
      <c r="A29" s="2503"/>
      <c r="B29" s="181"/>
      <c r="C29" s="130"/>
      <c r="D29" s="130"/>
      <c r="E29" s="130"/>
      <c r="F29" s="28"/>
      <c r="G29" s="442"/>
      <c r="H29" s="2838" t="s">
        <v>1065</v>
      </c>
      <c r="I29" s="282">
        <v>2016</v>
      </c>
      <c r="J29" s="283">
        <v>2017</v>
      </c>
      <c r="K29" s="283">
        <v>2018</v>
      </c>
      <c r="L29" s="283">
        <v>2021</v>
      </c>
      <c r="M29" s="283">
        <v>2022</v>
      </c>
      <c r="N29" s="283">
        <v>2023</v>
      </c>
      <c r="O29" s="363" t="s">
        <v>958</v>
      </c>
      <c r="P29" s="289">
        <f>P6</f>
        <v>2022</v>
      </c>
      <c r="Q29" s="2503"/>
      <c r="R29" s="130"/>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row>
    <row r="30" spans="1:44" s="185" customFormat="1" ht="20.100000000000001" customHeight="1" x14ac:dyDescent="0.2">
      <c r="A30" s="2503"/>
      <c r="B30" s="186"/>
      <c r="C30" s="178" t="s">
        <v>980</v>
      </c>
      <c r="D30" s="178"/>
      <c r="E30" s="178"/>
      <c r="F30" s="257"/>
      <c r="G30" s="506"/>
      <c r="H30" s="443" t="s">
        <v>981</v>
      </c>
      <c r="I30" s="457">
        <v>1.5</v>
      </c>
      <c r="J30" s="2853">
        <v>1.5</v>
      </c>
      <c r="K30" s="457">
        <v>1.5</v>
      </c>
      <c r="L30" s="260">
        <v>1.5</v>
      </c>
      <c r="M30" s="260">
        <v>1.5</v>
      </c>
      <c r="N30" s="260"/>
      <c r="O30" s="364" t="s">
        <v>982</v>
      </c>
      <c r="P30" s="285">
        <f>HLOOKUP($P$29,$H$29:$N$33,2)</f>
        <v>1.5</v>
      </c>
      <c r="Q30" s="2503"/>
      <c r="R30" s="130"/>
      <c r="AG30" s="3042" t="s">
        <v>970</v>
      </c>
      <c r="AH30" s="3042" t="s">
        <v>1252</v>
      </c>
      <c r="AI30" s="3042" t="s">
        <v>1253</v>
      </c>
    </row>
    <row r="31" spans="1:44" s="187" customFormat="1" ht="20.100000000000001" customHeight="1" x14ac:dyDescent="0.2">
      <c r="A31" s="2503"/>
      <c r="B31" s="188"/>
      <c r="C31" s="189" t="s">
        <v>983</v>
      </c>
      <c r="D31" s="189"/>
      <c r="E31" s="189"/>
      <c r="F31" s="258"/>
      <c r="G31" s="505"/>
      <c r="H31" s="446" t="s">
        <v>981</v>
      </c>
      <c r="I31" s="457">
        <v>2.5</v>
      </c>
      <c r="J31" s="2853">
        <v>2.5</v>
      </c>
      <c r="K31" s="457">
        <v>2.5</v>
      </c>
      <c r="L31" s="260">
        <v>2.5</v>
      </c>
      <c r="M31" s="260">
        <v>2.5</v>
      </c>
      <c r="N31" s="260"/>
      <c r="O31" s="364" t="s">
        <v>982</v>
      </c>
      <c r="P31" s="286">
        <f>HLOOKUP($P$29,$H$29:$N$33,3)</f>
        <v>2.5</v>
      </c>
      <c r="Q31" s="2503"/>
      <c r="R31" s="22"/>
      <c r="AB31" s="2832" t="s">
        <v>1254</v>
      </c>
      <c r="AG31" s="3042">
        <f>(4.5+4.1)/2*82.35%</f>
        <v>3.5410499999999994</v>
      </c>
      <c r="AH31" s="3042">
        <f>(1.8+1.7)/2</f>
        <v>1.75</v>
      </c>
      <c r="AI31" s="3042">
        <f>(7.1+5.8)/2</f>
        <v>6.4499999999999993</v>
      </c>
    </row>
    <row r="32" spans="1:44" s="187" customFormat="1" ht="20.100000000000001" customHeight="1" x14ac:dyDescent="0.2">
      <c r="A32" s="2503"/>
      <c r="B32" s="188"/>
      <c r="C32" s="189" t="s">
        <v>984</v>
      </c>
      <c r="D32" s="189"/>
      <c r="E32" s="189"/>
      <c r="F32" s="258"/>
      <c r="G32" s="505"/>
      <c r="H32" s="446" t="s">
        <v>981</v>
      </c>
      <c r="I32" s="457">
        <v>1.5</v>
      </c>
      <c r="J32" s="2853">
        <v>1.5</v>
      </c>
      <c r="K32" s="457">
        <v>1.5</v>
      </c>
      <c r="L32" s="260">
        <v>1.5</v>
      </c>
      <c r="M32" s="260">
        <v>1.5</v>
      </c>
      <c r="N32" s="260"/>
      <c r="O32" s="364" t="s">
        <v>982</v>
      </c>
      <c r="P32" s="286">
        <f>HLOOKUP($P$29,$H$29:$N$33,4)</f>
        <v>1.5</v>
      </c>
      <c r="Q32" s="2503"/>
      <c r="R32" s="22"/>
    </row>
    <row r="33" spans="1:69" s="187" customFormat="1" ht="20.100000000000001" customHeight="1" x14ac:dyDescent="0.2">
      <c r="A33" s="2503"/>
      <c r="B33" s="23"/>
      <c r="C33" s="190" t="s">
        <v>985</v>
      </c>
      <c r="D33" s="196"/>
      <c r="E33" s="24"/>
      <c r="F33" s="1710"/>
      <c r="G33" s="504"/>
      <c r="H33" s="447" t="s">
        <v>981</v>
      </c>
      <c r="I33" s="3823"/>
      <c r="J33" s="3823"/>
      <c r="K33" s="3049"/>
      <c r="L33" s="3049"/>
      <c r="M33" s="3049"/>
      <c r="N33" s="3049"/>
      <c r="O33" s="365" t="s">
        <v>982</v>
      </c>
      <c r="P33" s="288">
        <f>HLOOKUP($P$29,$H$29:$N$33,5)</f>
        <v>0</v>
      </c>
      <c r="Q33" s="2503"/>
      <c r="R33" s="22"/>
    </row>
    <row r="34" spans="1:69" ht="13.7" customHeight="1" x14ac:dyDescent="0.2">
      <c r="A34" s="2503"/>
      <c r="B34" s="22"/>
      <c r="C34" s="22"/>
      <c r="D34" s="175"/>
      <c r="E34" s="197"/>
      <c r="F34" s="197"/>
      <c r="G34" s="22"/>
      <c r="H34" s="22"/>
      <c r="I34" s="22"/>
      <c r="J34" s="22"/>
      <c r="K34" s="22"/>
      <c r="L34" s="22"/>
      <c r="M34" s="22"/>
      <c r="N34" s="22"/>
      <c r="O34" s="22"/>
      <c r="P34" s="284"/>
      <c r="Q34" s="2503"/>
    </row>
    <row r="35" spans="1:69" ht="6.75" customHeight="1" x14ac:dyDescent="0.2">
      <c r="A35" s="2503"/>
      <c r="B35" s="170"/>
      <c r="C35" s="170"/>
      <c r="D35" s="170"/>
      <c r="E35" s="170"/>
      <c r="F35" s="170"/>
      <c r="G35" s="170"/>
      <c r="H35" s="170"/>
      <c r="I35" s="170"/>
      <c r="J35" s="170"/>
      <c r="K35" s="170"/>
      <c r="L35" s="170"/>
      <c r="M35" s="170"/>
      <c r="N35" s="170"/>
      <c r="O35" s="170"/>
      <c r="P35" s="170"/>
      <c r="Q35" s="2503"/>
    </row>
    <row r="36" spans="1:69" ht="24.75" customHeight="1" x14ac:dyDescent="0.2">
      <c r="A36" s="2503"/>
      <c r="B36" s="176" t="s">
        <v>986</v>
      </c>
      <c r="C36" s="170"/>
      <c r="D36" s="170"/>
      <c r="E36" s="170"/>
      <c r="F36" s="170"/>
      <c r="G36" s="170"/>
      <c r="H36" s="170"/>
      <c r="I36" s="170"/>
      <c r="J36" s="170"/>
      <c r="K36" s="170"/>
      <c r="L36" s="170"/>
      <c r="M36" s="170"/>
      <c r="N36" s="170"/>
      <c r="O36" s="170"/>
      <c r="P36" s="170"/>
      <c r="Q36" s="2503"/>
    </row>
    <row r="37" spans="1:69" ht="20.100000000000001" customHeight="1" x14ac:dyDescent="0.2">
      <c r="A37" s="2503"/>
      <c r="B37" s="177"/>
      <c r="C37" s="113"/>
      <c r="D37" s="113"/>
      <c r="E37" s="113"/>
      <c r="F37" s="113"/>
      <c r="G37" s="113"/>
      <c r="H37" s="115"/>
      <c r="I37" s="3001" t="s">
        <v>978</v>
      </c>
      <c r="J37" s="179"/>
      <c r="K37" s="179"/>
      <c r="L37" s="3002"/>
      <c r="M37" s="179"/>
      <c r="N37" s="179"/>
      <c r="O37" s="179"/>
      <c r="P37" s="180" t="s">
        <v>979</v>
      </c>
      <c r="Q37" s="2503"/>
    </row>
    <row r="38" spans="1:69" ht="21.2" customHeight="1" x14ac:dyDescent="0.2">
      <c r="A38" s="2503"/>
      <c r="B38" s="181"/>
      <c r="H38" s="1713"/>
      <c r="I38" s="282">
        <v>2016</v>
      </c>
      <c r="J38" s="283">
        <v>2017</v>
      </c>
      <c r="K38" s="283">
        <v>2018</v>
      </c>
      <c r="L38" s="283">
        <v>2021</v>
      </c>
      <c r="M38" s="283">
        <v>2022</v>
      </c>
      <c r="N38" s="283">
        <v>2023</v>
      </c>
      <c r="O38" s="363" t="s">
        <v>958</v>
      </c>
      <c r="P38" s="289">
        <f>P6</f>
        <v>2022</v>
      </c>
      <c r="Q38" s="2503"/>
    </row>
    <row r="39" spans="1:69" ht="20.100000000000001" customHeight="1" x14ac:dyDescent="0.2">
      <c r="A39" s="2503"/>
      <c r="B39" s="198"/>
      <c r="C39" s="199" t="s">
        <v>987</v>
      </c>
      <c r="D39" s="199"/>
      <c r="E39" s="199"/>
      <c r="F39" s="1711"/>
      <c r="G39" s="501"/>
      <c r="H39" s="501" t="s">
        <v>988</v>
      </c>
      <c r="I39" s="689">
        <v>15.75</v>
      </c>
      <c r="J39" s="689">
        <v>16</v>
      </c>
      <c r="K39" s="689">
        <v>16.25</v>
      </c>
      <c r="L39" s="262">
        <v>17</v>
      </c>
      <c r="M39" s="262">
        <v>17.5</v>
      </c>
      <c r="N39" s="262"/>
      <c r="O39" s="366" t="s">
        <v>982</v>
      </c>
      <c r="P39" s="287">
        <f>HLOOKUP($P$38,$H$38:$N$39,2)</f>
        <v>17.5</v>
      </c>
      <c r="Q39" s="2503"/>
    </row>
    <row r="40" spans="1:69" ht="20.100000000000001" customHeight="1" x14ac:dyDescent="0.2">
      <c r="A40" s="2503"/>
      <c r="B40" s="198"/>
      <c r="C40" s="3912" t="s">
        <v>1577</v>
      </c>
      <c r="D40" s="701"/>
      <c r="E40" s="199"/>
      <c r="F40" s="1711"/>
      <c r="G40" s="501"/>
      <c r="H40" s="3910"/>
      <c r="I40" s="3906"/>
      <c r="J40" s="3906"/>
      <c r="K40" s="3906"/>
      <c r="L40" s="3907">
        <v>1.3</v>
      </c>
      <c r="M40" s="3907">
        <v>1.8</v>
      </c>
      <c r="N40" s="3907"/>
      <c r="O40" s="366"/>
      <c r="P40" s="287">
        <f>HLOOKUP($P$38,$H$38:$N$40,3)</f>
        <v>1.8</v>
      </c>
      <c r="Q40" s="2503"/>
    </row>
    <row r="41" spans="1:69" ht="24" customHeight="1" x14ac:dyDescent="0.2">
      <c r="A41" s="2503"/>
      <c r="B41" s="198"/>
      <c r="C41" s="199"/>
      <c r="D41" s="199"/>
      <c r="E41" s="199"/>
      <c r="F41" s="199"/>
      <c r="G41" s="3911"/>
      <c r="H41" s="3908"/>
      <c r="I41" s="3908"/>
      <c r="J41" s="3908"/>
      <c r="K41" s="3908"/>
      <c r="L41" s="3908"/>
      <c r="M41" s="3908"/>
      <c r="N41" s="3908"/>
      <c r="O41" s="3908"/>
      <c r="P41" s="3909"/>
      <c r="Q41" s="2503"/>
    </row>
    <row r="42" spans="1:69" ht="20.100000000000001" customHeight="1" x14ac:dyDescent="0.2">
      <c r="A42" s="2503"/>
      <c r="B42" s="176" t="s">
        <v>436</v>
      </c>
      <c r="C42" s="168"/>
      <c r="D42" s="168"/>
      <c r="E42" s="168"/>
      <c r="F42" s="168"/>
      <c r="G42" s="168"/>
      <c r="H42" s="168"/>
      <c r="I42" s="168"/>
      <c r="J42" s="168"/>
      <c r="K42" s="168"/>
      <c r="L42" s="168"/>
      <c r="M42" s="168"/>
      <c r="N42" s="168"/>
      <c r="O42" s="168"/>
      <c r="P42" s="194"/>
      <c r="Q42" s="2503"/>
    </row>
    <row r="43" spans="1:69" ht="45.75" customHeight="1" x14ac:dyDescent="0.2">
      <c r="A43" s="2503"/>
      <c r="B43" s="177"/>
      <c r="C43" s="2846"/>
      <c r="D43" s="113"/>
      <c r="E43" s="113"/>
      <c r="F43" s="113"/>
      <c r="G43" s="212"/>
      <c r="H43" s="1714"/>
      <c r="I43" s="3934" t="s">
        <v>1068</v>
      </c>
      <c r="J43" s="3935"/>
      <c r="K43" s="3935"/>
      <c r="L43" s="3935"/>
      <c r="M43" s="3935"/>
      <c r="N43" s="3935"/>
      <c r="O43" s="3936"/>
      <c r="P43" s="379" t="str">
        <f>IF($AH$13=1,"Aktuell einschl. Mwst.","Aktuell ohne Mwst.")</f>
        <v>Aktuell einschl. Mwst.</v>
      </c>
      <c r="Q43" s="2503"/>
      <c r="R43"/>
      <c r="S43"/>
      <c r="T43" s="16"/>
      <c r="U43"/>
      <c r="V43"/>
    </row>
    <row r="44" spans="1:69" ht="20.100000000000001" customHeight="1" x14ac:dyDescent="0.2">
      <c r="A44" s="2503"/>
      <c r="B44" s="181"/>
      <c r="F44" s="28"/>
      <c r="G44" s="442"/>
      <c r="H44" s="1715"/>
      <c r="I44" s="282">
        <v>2016</v>
      </c>
      <c r="J44" s="283">
        <v>2017</v>
      </c>
      <c r="K44" s="283">
        <v>2018</v>
      </c>
      <c r="L44" s="283">
        <v>2021</v>
      </c>
      <c r="M44" s="283">
        <v>2022</v>
      </c>
      <c r="N44" s="283">
        <v>2023</v>
      </c>
      <c r="O44" s="363" t="s">
        <v>958</v>
      </c>
      <c r="P44" s="289">
        <f>P6</f>
        <v>2022</v>
      </c>
      <c r="Q44" s="2503"/>
      <c r="R44" t="s">
        <v>1515</v>
      </c>
      <c r="S44"/>
      <c r="T44"/>
      <c r="U44"/>
      <c r="V44"/>
    </row>
    <row r="45" spans="1:69" ht="20.100000000000001" customHeight="1" x14ac:dyDescent="0.2">
      <c r="A45" s="2503"/>
      <c r="B45" s="186"/>
      <c r="C45" s="532" t="s">
        <v>213</v>
      </c>
      <c r="D45" s="178"/>
      <c r="E45" s="178"/>
      <c r="F45" s="257"/>
      <c r="G45" s="506"/>
      <c r="H45" s="506" t="s">
        <v>989</v>
      </c>
      <c r="I45" s="690">
        <v>5700</v>
      </c>
      <c r="J45" s="690">
        <v>5800</v>
      </c>
      <c r="K45" s="690">
        <v>5900</v>
      </c>
      <c r="L45" s="472">
        <v>7280</v>
      </c>
      <c r="M45" s="472">
        <v>7280</v>
      </c>
      <c r="N45" s="472"/>
      <c r="O45" s="474">
        <f>P10</f>
        <v>0.19</v>
      </c>
      <c r="P45" s="524">
        <f>HLOOKUP($AI5,$H$44:$N$55,2)*(1+P10)</f>
        <v>8663.1999999999989</v>
      </c>
      <c r="Q45" s="2503"/>
      <c r="R45" t="s">
        <v>1516</v>
      </c>
      <c r="S45"/>
      <c r="T45"/>
      <c r="U45"/>
      <c r="V45"/>
    </row>
    <row r="46" spans="1:69" ht="20.100000000000001" customHeight="1" x14ac:dyDescent="0.2">
      <c r="A46" s="2503"/>
      <c r="B46" s="188"/>
      <c r="C46" s="189" t="s">
        <v>990</v>
      </c>
      <c r="D46" s="189"/>
      <c r="E46" s="189"/>
      <c r="F46" s="258"/>
      <c r="G46" s="505"/>
      <c r="H46" s="505" t="s">
        <v>991</v>
      </c>
      <c r="I46" s="218">
        <v>30</v>
      </c>
      <c r="J46" s="218">
        <v>30</v>
      </c>
      <c r="K46" s="218">
        <v>30</v>
      </c>
      <c r="L46" s="400">
        <v>30</v>
      </c>
      <c r="M46" s="400">
        <v>30</v>
      </c>
      <c r="N46" s="400"/>
      <c r="O46" s="364" t="s">
        <v>982</v>
      </c>
      <c r="P46" s="475">
        <f>HLOOKUP(AI5,$H$44:$N$55,3)</f>
        <v>30</v>
      </c>
      <c r="Q46" s="2503"/>
      <c r="R46" t="s">
        <v>1518</v>
      </c>
      <c r="S46"/>
      <c r="T46"/>
      <c r="U46"/>
      <c r="V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row>
    <row r="47" spans="1:69" ht="20.100000000000001" customHeight="1" x14ac:dyDescent="0.2">
      <c r="A47" s="2503"/>
      <c r="B47" s="188"/>
      <c r="C47" s="190" t="s">
        <v>992</v>
      </c>
      <c r="D47" s="190"/>
      <c r="E47" s="190"/>
      <c r="F47" s="196"/>
      <c r="G47" s="504"/>
      <c r="H47" s="504" t="s">
        <v>961</v>
      </c>
      <c r="I47" s="691">
        <v>1</v>
      </c>
      <c r="J47" s="691">
        <v>1</v>
      </c>
      <c r="K47" s="691">
        <v>1</v>
      </c>
      <c r="L47" s="545">
        <v>1</v>
      </c>
      <c r="M47" s="545">
        <v>1</v>
      </c>
      <c r="N47" s="545"/>
      <c r="O47" s="409" t="s">
        <v>982</v>
      </c>
      <c r="P47" s="546">
        <f>HLOOKUP($AI5,$H$44:$N$55,4)</f>
        <v>1</v>
      </c>
      <c r="Q47" s="2503"/>
      <c r="R47"/>
      <c r="S47"/>
      <c r="T47"/>
      <c r="U47"/>
      <c r="V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row>
    <row r="48" spans="1:69" ht="20.100000000000001" customHeight="1" x14ac:dyDescent="0.2">
      <c r="A48" s="2503"/>
      <c r="B48" s="293"/>
      <c r="C48" s="532" t="s">
        <v>216</v>
      </c>
      <c r="D48" s="257"/>
      <c r="E48" s="223"/>
      <c r="F48" s="1716"/>
      <c r="G48" s="506"/>
      <c r="H48" s="506" t="s">
        <v>989</v>
      </c>
      <c r="I48" s="690">
        <v>1800</v>
      </c>
      <c r="J48" s="690">
        <v>1850</v>
      </c>
      <c r="K48" s="690">
        <v>1900</v>
      </c>
      <c r="L48" s="472">
        <v>2392</v>
      </c>
      <c r="M48" s="472">
        <v>2392</v>
      </c>
      <c r="N48" s="472"/>
      <c r="O48" s="474">
        <f>P10</f>
        <v>0.19</v>
      </c>
      <c r="P48" s="524">
        <f>HLOOKUP(AI5,$H$44:$N$55,5)*(1+P10)</f>
        <v>2846.48</v>
      </c>
      <c r="Q48" s="2503"/>
      <c r="R48" s="493" t="s">
        <v>993</v>
      </c>
      <c r="S48" s="494"/>
      <c r="U48" s="502" t="s">
        <v>994</v>
      </c>
      <c r="V48" s="494"/>
      <c r="W48" s="502" t="s">
        <v>995</v>
      </c>
      <c r="X48" s="494"/>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row>
    <row r="49" spans="1:69" ht="20.100000000000001" customHeight="1" x14ac:dyDescent="0.2">
      <c r="A49" s="2503"/>
      <c r="B49" s="203"/>
      <c r="C49" s="189" t="s">
        <v>990</v>
      </c>
      <c r="D49" s="189"/>
      <c r="E49" s="189"/>
      <c r="F49" s="189"/>
      <c r="G49" s="505"/>
      <c r="H49" s="505" t="s">
        <v>991</v>
      </c>
      <c r="I49" s="693">
        <v>15</v>
      </c>
      <c r="J49" s="693">
        <v>15</v>
      </c>
      <c r="K49" s="693">
        <v>15</v>
      </c>
      <c r="L49" s="473">
        <v>15</v>
      </c>
      <c r="M49" s="473">
        <v>15</v>
      </c>
      <c r="N49" s="473"/>
      <c r="O49" s="470"/>
      <c r="P49" s="475">
        <f>HLOOKUP(AI5,$H$44:$N$55,6)</f>
        <v>15</v>
      </c>
      <c r="Q49" s="2503"/>
      <c r="R49" s="491" t="s">
        <v>996</v>
      </c>
      <c r="S49" s="495">
        <f>P45/P46</f>
        <v>288.77333333333331</v>
      </c>
      <c r="U49" s="491" t="s">
        <v>996</v>
      </c>
      <c r="V49" s="495">
        <f>P48/P49</f>
        <v>189.76533333333333</v>
      </c>
      <c r="W49" s="491" t="s">
        <v>996</v>
      </c>
      <c r="X49" s="495">
        <f>P51/P52</f>
        <v>86.631999999999991</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row>
    <row r="50" spans="1:69" ht="20.100000000000001" customHeight="1" x14ac:dyDescent="0.2">
      <c r="A50" s="2503"/>
      <c r="B50" s="203"/>
      <c r="C50" s="190" t="s">
        <v>992</v>
      </c>
      <c r="D50" s="190"/>
      <c r="E50" s="190"/>
      <c r="F50" s="190"/>
      <c r="G50" s="504"/>
      <c r="H50" s="504" t="s">
        <v>961</v>
      </c>
      <c r="I50" s="695">
        <v>2</v>
      </c>
      <c r="J50" s="695">
        <v>2</v>
      </c>
      <c r="K50" s="695">
        <v>2</v>
      </c>
      <c r="L50" s="547">
        <v>2</v>
      </c>
      <c r="M50" s="547">
        <v>2</v>
      </c>
      <c r="N50" s="547"/>
      <c r="O50" s="548"/>
      <c r="P50" s="546">
        <f>HLOOKUP($AI5,$H$44:$N$55,7)</f>
        <v>2</v>
      </c>
      <c r="Q50" s="2503"/>
      <c r="R50" s="213" t="s">
        <v>997</v>
      </c>
      <c r="S50" s="3151">
        <f>P45*P47/100</f>
        <v>86.631999999999991</v>
      </c>
      <c r="U50" s="213" t="s">
        <v>997</v>
      </c>
      <c r="V50" s="3151">
        <f>P48*P50/100</f>
        <v>56.929600000000001</v>
      </c>
      <c r="W50" s="2571"/>
      <c r="X50" s="2572"/>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row>
    <row r="51" spans="1:69" ht="20.100000000000001" customHeight="1" x14ac:dyDescent="0.2">
      <c r="A51" s="2503"/>
      <c r="B51" s="293"/>
      <c r="C51" s="532" t="s">
        <v>217</v>
      </c>
      <c r="D51" s="257"/>
      <c r="E51" s="223"/>
      <c r="F51" s="1716"/>
      <c r="G51" s="506"/>
      <c r="H51" s="506" t="s">
        <v>989</v>
      </c>
      <c r="I51" s="690">
        <v>520</v>
      </c>
      <c r="J51" s="690">
        <v>540</v>
      </c>
      <c r="K51" s="690">
        <v>550</v>
      </c>
      <c r="L51" s="472">
        <v>728</v>
      </c>
      <c r="M51" s="472">
        <v>728</v>
      </c>
      <c r="N51" s="472"/>
      <c r="O51" s="474">
        <f>P10</f>
        <v>0.19</v>
      </c>
      <c r="P51" s="524">
        <f>HLOOKUP($AI5,$H$44:$N$55,8)*(1+P10)</f>
        <v>866.31999999999994</v>
      </c>
      <c r="Q51" s="2503"/>
      <c r="R51" s="220" t="s">
        <v>998</v>
      </c>
      <c r="S51" s="3152">
        <f>P45*P31/100/2</f>
        <v>108.28999999999998</v>
      </c>
      <c r="U51" s="220" t="s">
        <v>998</v>
      </c>
      <c r="V51" s="3152">
        <f>P48*P32/100/2</f>
        <v>21.348600000000001</v>
      </c>
      <c r="W51" s="220" t="s">
        <v>998</v>
      </c>
      <c r="X51" s="3152">
        <f>P51*P32/100/2</f>
        <v>6.4973999999999998</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row>
    <row r="52" spans="1:69" ht="20.100000000000001" customHeight="1" x14ac:dyDescent="0.2">
      <c r="A52" s="2503"/>
      <c r="B52" s="203"/>
      <c r="C52" s="189" t="s">
        <v>990</v>
      </c>
      <c r="D52" s="189"/>
      <c r="E52" s="189"/>
      <c r="F52" s="189"/>
      <c r="G52" s="505"/>
      <c r="H52" s="505" t="s">
        <v>991</v>
      </c>
      <c r="I52" s="693">
        <v>10</v>
      </c>
      <c r="J52" s="693">
        <v>10</v>
      </c>
      <c r="K52" s="693">
        <v>10</v>
      </c>
      <c r="L52" s="473">
        <v>10</v>
      </c>
      <c r="M52" s="473">
        <v>10</v>
      </c>
      <c r="N52" s="473"/>
      <c r="O52" s="470"/>
      <c r="P52" s="475">
        <f>HLOOKUP(AI5,$H$44:$N$55,9)</f>
        <v>10</v>
      </c>
      <c r="Q52" s="2503"/>
      <c r="R52" s="252" t="s">
        <v>999</v>
      </c>
      <c r="S52" s="496">
        <f>S49+S50+S51</f>
        <v>483.69533333333328</v>
      </c>
      <c r="U52" s="252" t="s">
        <v>999</v>
      </c>
      <c r="V52" s="496">
        <f>V49+V50+V51</f>
        <v>268.0435333333333</v>
      </c>
      <c r="W52" s="252" t="s">
        <v>999</v>
      </c>
      <c r="X52" s="496">
        <f>X49+X50+X51</f>
        <v>93.12939999999999</v>
      </c>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row>
    <row r="53" spans="1:69" ht="20.100000000000001" customHeight="1" x14ac:dyDescent="0.2">
      <c r="A53" s="2503"/>
      <c r="B53" s="203"/>
      <c r="C53" s="190" t="s">
        <v>992</v>
      </c>
      <c r="D53" s="190"/>
      <c r="E53" s="190"/>
      <c r="F53" s="190"/>
      <c r="G53" s="504"/>
      <c r="H53" s="504" t="s">
        <v>961</v>
      </c>
      <c r="I53" s="695">
        <v>2</v>
      </c>
      <c r="J53" s="695">
        <v>2</v>
      </c>
      <c r="K53" s="695">
        <v>2</v>
      </c>
      <c r="L53" s="547">
        <v>2</v>
      </c>
      <c r="M53" s="547">
        <v>2</v>
      </c>
      <c r="N53" s="547"/>
      <c r="O53" s="548"/>
      <c r="P53" s="546">
        <f>HLOOKUP(AI5,$H$44:$N$55,10)</f>
        <v>2</v>
      </c>
      <c r="Q53" s="250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row>
    <row r="54" spans="1:69" ht="20.100000000000001" customHeight="1" x14ac:dyDescent="0.2">
      <c r="A54" s="2503"/>
      <c r="B54" s="186"/>
      <c r="C54" s="115" t="s">
        <v>985</v>
      </c>
      <c r="D54" s="178"/>
      <c r="E54" s="178"/>
      <c r="F54" s="178"/>
      <c r="G54" s="503"/>
      <c r="H54" s="503" t="s">
        <v>960</v>
      </c>
      <c r="I54" s="3824"/>
      <c r="J54" s="3824"/>
      <c r="K54" s="3052"/>
      <c r="L54" s="3052">
        <v>0</v>
      </c>
      <c r="M54" s="3052">
        <v>0</v>
      </c>
      <c r="N54" s="3052">
        <v>0</v>
      </c>
      <c r="O54" s="544"/>
      <c r="P54" s="285">
        <f>HLOOKUP(AI5,$H$44:$N$55,11)</f>
        <v>0</v>
      </c>
      <c r="Q54" s="2503"/>
      <c r="V54" s="252"/>
      <c r="W54" s="2256"/>
      <c r="X54" s="492"/>
      <c r="Y54" s="2256" t="s">
        <v>1056</v>
      </c>
      <c r="Z54" s="492"/>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row>
    <row r="55" spans="1:69" ht="20.100000000000001" customHeight="1" x14ac:dyDescent="0.2">
      <c r="A55" s="2503"/>
      <c r="B55" s="477"/>
      <c r="C55" s="190" t="s">
        <v>580</v>
      </c>
      <c r="D55" s="190"/>
      <c r="E55" s="190"/>
      <c r="F55" s="190"/>
      <c r="G55" s="504"/>
      <c r="H55" s="504" t="s">
        <v>991</v>
      </c>
      <c r="I55" s="3825"/>
      <c r="J55" s="3825"/>
      <c r="K55" s="3049"/>
      <c r="L55" s="3049">
        <v>0</v>
      </c>
      <c r="M55" s="3049">
        <v>0</v>
      </c>
      <c r="N55" s="3049">
        <v>0</v>
      </c>
      <c r="O55" s="471"/>
      <c r="P55" s="476">
        <f>HLOOKUP(AI5,$H$44:$N$55,12)</f>
        <v>0</v>
      </c>
      <c r="Q55" s="2503"/>
      <c r="R55" s="3008" t="s">
        <v>874</v>
      </c>
      <c r="V55" s="213"/>
      <c r="W55" s="2651" t="s">
        <v>118</v>
      </c>
      <c r="X55" s="2654">
        <v>44500</v>
      </c>
      <c r="Y55" s="2652">
        <v>0.66</v>
      </c>
      <c r="Z55" s="2654">
        <f>X55*Y55</f>
        <v>29370</v>
      </c>
      <c r="AB55" s="3802" t="s">
        <v>1567</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row>
    <row r="56" spans="1:69" ht="19.899999999999999" customHeight="1" x14ac:dyDescent="0.2">
      <c r="A56" s="2503"/>
      <c r="B56" s="200"/>
      <c r="C56" s="1717" t="s">
        <v>1063</v>
      </c>
      <c r="E56" s="189"/>
      <c r="F56" s="189"/>
      <c r="G56" s="200"/>
      <c r="H56" s="1717" t="s">
        <v>215</v>
      </c>
      <c r="J56" s="201"/>
      <c r="K56" s="201"/>
      <c r="L56" s="201"/>
      <c r="M56" s="201"/>
      <c r="N56" s="201"/>
      <c r="O56" s="2847" t="s">
        <v>190</v>
      </c>
      <c r="P56" s="2840" t="str">
        <f>IF(AH13=1,ROUND((P45+P48+P51),0)&amp;" € einschl. Mwst.)",ROUND((P45+P48+P51),0)&amp;" € ohne Mwst.)")</f>
        <v>12376 € einschl. Mwst.)</v>
      </c>
      <c r="Q56" s="2503"/>
      <c r="R56" s="3007">
        <f>(P45+P48+P51)/(100%+O45)*100%</f>
        <v>10399.999999999998</v>
      </c>
      <c r="V56" s="213"/>
      <c r="W56" s="2651" t="s">
        <v>117</v>
      </c>
      <c r="X56" s="2654">
        <v>50000</v>
      </c>
      <c r="Y56" s="2652">
        <v>0.1</v>
      </c>
      <c r="Z56" s="2654">
        <f>X56*Y56</f>
        <v>5000</v>
      </c>
      <c r="AB56" s="3802" t="s">
        <v>1533</v>
      </c>
      <c r="AF56"/>
      <c r="AG56"/>
      <c r="AI56"/>
      <c r="AJ56"/>
      <c r="AK56"/>
      <c r="AL56"/>
      <c r="AM56"/>
      <c r="AN56"/>
      <c r="AO56"/>
      <c r="AP56"/>
      <c r="AQ56"/>
      <c r="AR56"/>
      <c r="AS56"/>
      <c r="AT56"/>
    </row>
    <row r="57" spans="1:69" ht="18" customHeight="1" x14ac:dyDescent="0.2">
      <c r="A57" s="2503"/>
      <c r="B57" s="170"/>
      <c r="C57" s="1718" t="s">
        <v>214</v>
      </c>
      <c r="F57" s="2839"/>
      <c r="G57" s="2839"/>
      <c r="H57" s="1717" t="s">
        <v>1051</v>
      </c>
      <c r="J57" s="170"/>
      <c r="K57" s="170"/>
      <c r="L57" s="170"/>
      <c r="M57" s="170"/>
      <c r="N57" s="170"/>
      <c r="O57" s="170"/>
      <c r="P57" s="170"/>
      <c r="Q57" s="2503"/>
      <c r="V57" s="252"/>
      <c r="W57" s="2653" t="s">
        <v>119</v>
      </c>
      <c r="X57" s="2655">
        <f>SUM(X55:X56)</f>
        <v>94500</v>
      </c>
      <c r="Y57" s="2256"/>
      <c r="Z57" s="2655">
        <f>SUM(Z55:Z56)</f>
        <v>34370</v>
      </c>
      <c r="AB57" s="170" t="s">
        <v>1568</v>
      </c>
      <c r="AF57"/>
      <c r="AG57"/>
      <c r="AH57"/>
      <c r="AI57"/>
      <c r="AJ57"/>
      <c r="AK57"/>
      <c r="AL57"/>
      <c r="AM57"/>
      <c r="AN57"/>
      <c r="AO57"/>
      <c r="AP57"/>
      <c r="AQ57"/>
      <c r="AR57"/>
      <c r="AS57"/>
      <c r="AT57"/>
    </row>
    <row r="58" spans="1:69" ht="28.5" customHeight="1" x14ac:dyDescent="0.2">
      <c r="A58" s="2503"/>
      <c r="B58" s="176" t="s">
        <v>895</v>
      </c>
      <c r="C58" s="168"/>
      <c r="D58" s="168"/>
      <c r="E58" s="168"/>
      <c r="F58" s="168"/>
      <c r="G58" s="168"/>
      <c r="H58" s="168"/>
      <c r="I58" s="168"/>
      <c r="J58"/>
      <c r="K58"/>
      <c r="L58"/>
      <c r="M58"/>
      <c r="N58" s="168"/>
      <c r="O58" s="168"/>
      <c r="P58" s="194"/>
      <c r="Q58" s="2503"/>
      <c r="AJ58"/>
      <c r="AK58"/>
      <c r="AL58"/>
      <c r="AM58"/>
      <c r="AN58"/>
      <c r="AO58"/>
      <c r="AP58"/>
      <c r="AQ58"/>
      <c r="AR58"/>
      <c r="AS58"/>
      <c r="AT58"/>
    </row>
    <row r="59" spans="1:69" ht="50.25" customHeight="1" x14ac:dyDescent="0.2">
      <c r="A59" s="2503"/>
      <c r="B59" s="177"/>
      <c r="C59" s="113"/>
      <c r="D59" s="113"/>
      <c r="E59" s="113"/>
      <c r="F59" s="113"/>
      <c r="G59" s="113"/>
      <c r="H59" s="955"/>
      <c r="I59" s="1720" t="s">
        <v>1001</v>
      </c>
      <c r="J59" s="179"/>
      <c r="K59" s="179"/>
      <c r="L59" s="179"/>
      <c r="M59" s="179"/>
      <c r="N59" s="179"/>
      <c r="O59" s="179"/>
      <c r="P59" s="3861" t="str">
        <f>IF($AH$13=1,"Aktuell einschl. Mwst.","Aktuell ohne Mwst.")</f>
        <v>Aktuell einschl. Mwst.</v>
      </c>
      <c r="Q59" s="2503"/>
      <c r="AJ59"/>
      <c r="AK59"/>
      <c r="AL59"/>
      <c r="AM59"/>
      <c r="AN59"/>
      <c r="AO59"/>
      <c r="AP59"/>
      <c r="AQ59"/>
      <c r="AR59"/>
      <c r="AS59"/>
      <c r="AT59"/>
    </row>
    <row r="60" spans="1:69" ht="21.2" customHeight="1" x14ac:dyDescent="0.2">
      <c r="A60" s="2503"/>
      <c r="B60" s="181"/>
      <c r="H60" s="1721"/>
      <c r="I60" s="1712">
        <v>2016</v>
      </c>
      <c r="J60" s="283">
        <v>2017</v>
      </c>
      <c r="K60" s="283">
        <v>2018</v>
      </c>
      <c r="L60" s="283">
        <v>2021</v>
      </c>
      <c r="M60" s="283">
        <v>2022</v>
      </c>
      <c r="N60" s="283">
        <v>2023</v>
      </c>
      <c r="O60" s="363" t="s">
        <v>1002</v>
      </c>
      <c r="P60" s="289">
        <f>P6</f>
        <v>2022</v>
      </c>
      <c r="Q60" s="2503"/>
      <c r="AJ60"/>
      <c r="AK60"/>
      <c r="AL60"/>
      <c r="AM60"/>
      <c r="AN60"/>
      <c r="AO60"/>
      <c r="AP60"/>
      <c r="AQ60"/>
      <c r="AR60"/>
      <c r="AS60"/>
      <c r="AT60"/>
    </row>
    <row r="61" spans="1:69" ht="21.2" customHeight="1" x14ac:dyDescent="0.2">
      <c r="A61" s="2503"/>
      <c r="B61" s="1706"/>
      <c r="C61" s="498"/>
      <c r="D61" s="1704"/>
      <c r="E61" s="1704"/>
      <c r="F61" s="1704"/>
      <c r="G61" s="1704"/>
      <c r="H61" s="2056"/>
      <c r="I61" s="1719"/>
      <c r="J61" s="283"/>
      <c r="K61" s="283"/>
      <c r="L61" s="283"/>
      <c r="M61" s="283"/>
      <c r="N61" s="283"/>
      <c r="O61" s="363" t="s">
        <v>961</v>
      </c>
      <c r="P61" s="384" t="s">
        <v>61</v>
      </c>
      <c r="Q61" s="2503"/>
      <c r="AJ61"/>
      <c r="AK61"/>
      <c r="AL61"/>
      <c r="AM61"/>
      <c r="AN61"/>
      <c r="AO61"/>
      <c r="AP61"/>
      <c r="AQ61"/>
      <c r="AR61"/>
      <c r="AS61"/>
      <c r="AT61"/>
      <c r="AV61" s="1505"/>
      <c r="AW61" s="1505"/>
      <c r="AX61" s="1505"/>
      <c r="AY61" s="1505"/>
      <c r="AZ61" s="1505"/>
      <c r="BA61" s="1505"/>
      <c r="BB61" s="1505"/>
      <c r="BC61" s="1505"/>
    </row>
    <row r="62" spans="1:69" ht="30.2" customHeight="1" x14ac:dyDescent="0.2">
      <c r="A62" s="2503"/>
      <c r="B62" s="198"/>
      <c r="C62" s="199" t="str">
        <f>L2</f>
        <v>Milchviehhaltung</v>
      </c>
      <c r="D62" s="199"/>
      <c r="E62" s="178"/>
      <c r="F62" s="2055"/>
      <c r="G62" s="2054"/>
      <c r="H62" s="514" t="s">
        <v>1003</v>
      </c>
      <c r="I62" s="696">
        <v>83</v>
      </c>
      <c r="J62" s="696">
        <v>85</v>
      </c>
      <c r="K62" s="696">
        <v>87</v>
      </c>
      <c r="L62" s="549">
        <v>95</v>
      </c>
      <c r="M62" s="549">
        <v>105</v>
      </c>
      <c r="N62" s="549"/>
      <c r="O62" s="410">
        <f>P11*100</f>
        <v>12</v>
      </c>
      <c r="P62" s="550">
        <f>HLOOKUP($P$60,$H$60:$N$63,3)*(1+P11)</f>
        <v>117.60000000000001</v>
      </c>
      <c r="Q62" s="2503"/>
      <c r="AJ62"/>
      <c r="AK62"/>
      <c r="AL62"/>
      <c r="AM62"/>
      <c r="AN62"/>
      <c r="AO62"/>
      <c r="AP62"/>
      <c r="AQ62"/>
      <c r="AR62"/>
      <c r="AS62"/>
      <c r="AT62"/>
    </row>
    <row r="63" spans="1:69" ht="30.6" customHeight="1" x14ac:dyDescent="0.2">
      <c r="A63" s="2503"/>
      <c r="B63" s="198"/>
      <c r="C63" s="199" t="str">
        <f>P2</f>
        <v>Färsenaufzucht</v>
      </c>
      <c r="D63" s="199"/>
      <c r="E63" s="199"/>
      <c r="F63" s="2055"/>
      <c r="G63" s="2054"/>
      <c r="H63" s="514" t="s">
        <v>989</v>
      </c>
      <c r="I63" s="696">
        <v>37</v>
      </c>
      <c r="J63" s="696">
        <v>38</v>
      </c>
      <c r="K63" s="696">
        <v>39</v>
      </c>
      <c r="L63" s="549">
        <v>47</v>
      </c>
      <c r="M63" s="549">
        <v>50</v>
      </c>
      <c r="N63" s="549"/>
      <c r="O63" s="410">
        <f>P11*100</f>
        <v>12</v>
      </c>
      <c r="P63" s="550">
        <f>HLOOKUP($P$60,$H$60:$N$63,4)*(1+P11)</f>
        <v>56.000000000000007</v>
      </c>
      <c r="Q63" s="2503"/>
      <c r="AJ63"/>
      <c r="AK63"/>
      <c r="AL63"/>
      <c r="AM63"/>
      <c r="AN63"/>
      <c r="AO63"/>
      <c r="AP63"/>
      <c r="AQ63"/>
      <c r="AR63"/>
      <c r="AS63"/>
      <c r="AT63"/>
      <c r="AV63" s="1506"/>
      <c r="AW63" s="1506"/>
      <c r="AX63" s="1506"/>
      <c r="AY63" s="1506"/>
      <c r="AZ63" s="1506"/>
      <c r="BA63" s="1506"/>
      <c r="BB63" s="1506"/>
      <c r="BC63" s="1506"/>
    </row>
    <row r="64" spans="1:69" ht="18" customHeight="1" x14ac:dyDescent="0.2">
      <c r="A64" s="2503"/>
      <c r="B64"/>
      <c r="C64" s="111" t="s">
        <v>1004</v>
      </c>
      <c r="D64"/>
      <c r="E64"/>
      <c r="F64"/>
      <c r="G64"/>
      <c r="H64"/>
      <c r="I64"/>
      <c r="J64"/>
      <c r="K64"/>
      <c r="L64"/>
      <c r="M64"/>
      <c r="N64"/>
      <c r="O64"/>
      <c r="P64"/>
      <c r="Q64" s="2503"/>
      <c r="AJ64"/>
      <c r="AK64"/>
      <c r="AL64"/>
      <c r="AM64"/>
      <c r="AN64"/>
      <c r="AO64"/>
      <c r="AP64"/>
      <c r="AQ64"/>
      <c r="AR64"/>
      <c r="AS64"/>
      <c r="AT64"/>
    </row>
    <row r="65" spans="1:46" ht="19.5" customHeight="1" x14ac:dyDescent="0.2">
      <c r="A65" s="2503"/>
      <c r="B65" s="170"/>
      <c r="C65" s="170"/>
      <c r="D65" s="170"/>
      <c r="E65" s="170"/>
      <c r="F65" s="170"/>
      <c r="G65" s="170"/>
      <c r="H65" s="170"/>
      <c r="I65" s="170"/>
      <c r="J65" s="170"/>
      <c r="K65" s="170"/>
      <c r="L65" s="170"/>
      <c r="M65" s="170"/>
      <c r="N65" s="170"/>
      <c r="O65" s="170"/>
      <c r="P65" s="170"/>
      <c r="Q65" s="2503"/>
      <c r="AJ65"/>
      <c r="AK65"/>
      <c r="AL65"/>
      <c r="AM65"/>
      <c r="AN65"/>
      <c r="AO65"/>
      <c r="AP65"/>
      <c r="AQ65"/>
      <c r="AR65"/>
      <c r="AS65"/>
      <c r="AT65"/>
    </row>
    <row r="66" spans="1:46" ht="19.899999999999999" customHeight="1" x14ac:dyDescent="0.2">
      <c r="A66" s="2503"/>
      <c r="B66" s="176" t="s">
        <v>437</v>
      </c>
      <c r="C66" s="168"/>
      <c r="D66" s="168"/>
      <c r="E66" s="168"/>
      <c r="F66" s="168"/>
      <c r="G66" s="168"/>
      <c r="H66" s="168"/>
      <c r="I66" s="168"/>
      <c r="J66" s="168"/>
      <c r="K66" s="168"/>
      <c r="L66" s="168"/>
      <c r="M66" s="168"/>
      <c r="N66" s="168"/>
      <c r="O66" s="168"/>
      <c r="P66" s="194"/>
      <c r="Q66" s="2503"/>
      <c r="AJ66"/>
      <c r="AK66"/>
      <c r="AL66"/>
      <c r="AM66"/>
      <c r="AN66"/>
      <c r="AO66"/>
      <c r="AP66"/>
      <c r="AQ66"/>
      <c r="AR66"/>
      <c r="AS66"/>
      <c r="AT66"/>
    </row>
    <row r="67" spans="1:46" ht="57.2" customHeight="1" x14ac:dyDescent="0.2">
      <c r="A67" s="2503"/>
      <c r="B67" s="177"/>
      <c r="C67" s="2846"/>
      <c r="D67" s="113"/>
      <c r="E67" s="113"/>
      <c r="F67" s="113"/>
      <c r="G67" s="113"/>
      <c r="H67" s="1714"/>
      <c r="I67" s="462" t="s">
        <v>1067</v>
      </c>
      <c r="J67" s="179"/>
      <c r="K67" s="179"/>
      <c r="L67" s="179"/>
      <c r="M67" s="179"/>
      <c r="N67" s="179"/>
      <c r="O67" s="179"/>
      <c r="P67" s="3861" t="str">
        <f>IF($AH$13=1,"Aktuell einschl. Mwst.","Aktuell ohne Mwst.")</f>
        <v>Aktuell einschl. Mwst.</v>
      </c>
      <c r="Q67" s="2503"/>
      <c r="AJ67"/>
      <c r="AK67"/>
      <c r="AL67"/>
      <c r="AM67"/>
      <c r="AN67"/>
      <c r="AO67"/>
      <c r="AP67"/>
      <c r="AQ67"/>
      <c r="AR67"/>
      <c r="AS67"/>
      <c r="AT67"/>
    </row>
    <row r="68" spans="1:46" ht="19.899999999999999" customHeight="1" x14ac:dyDescent="0.2">
      <c r="A68" s="2503"/>
      <c r="B68" s="181"/>
      <c r="F68" s="28"/>
      <c r="G68" s="956"/>
      <c r="H68" s="1723"/>
      <c r="I68" s="282">
        <v>2016</v>
      </c>
      <c r="J68" s="283">
        <v>2017</v>
      </c>
      <c r="K68" s="283">
        <v>2018</v>
      </c>
      <c r="L68" s="283">
        <v>2021</v>
      </c>
      <c r="M68" s="283">
        <v>2022</v>
      </c>
      <c r="N68" s="283">
        <v>2023</v>
      </c>
      <c r="O68" s="363" t="s">
        <v>958</v>
      </c>
      <c r="P68" s="289">
        <f>P6</f>
        <v>2022</v>
      </c>
      <c r="Q68" s="2503"/>
      <c r="R68" s="170" t="s">
        <v>1538</v>
      </c>
      <c r="Y68" s="170" t="s">
        <v>1517</v>
      </c>
      <c r="AF68" s="3802" t="s">
        <v>1519</v>
      </c>
      <c r="AJ68"/>
      <c r="AK68"/>
      <c r="AL68"/>
      <c r="AM68"/>
      <c r="AN68"/>
      <c r="AO68"/>
      <c r="AP68"/>
      <c r="AQ68"/>
      <c r="AR68"/>
      <c r="AS68"/>
      <c r="AT68"/>
    </row>
    <row r="69" spans="1:46" ht="19.899999999999999" customHeight="1" x14ac:dyDescent="0.2">
      <c r="A69" s="2503"/>
      <c r="B69" s="186"/>
      <c r="C69" s="532" t="s">
        <v>220</v>
      </c>
      <c r="D69" s="178"/>
      <c r="E69" s="178"/>
      <c r="F69" s="257"/>
      <c r="G69" s="506"/>
      <c r="H69" s="506" t="s">
        <v>989</v>
      </c>
      <c r="I69" s="1722">
        <v>2100</v>
      </c>
      <c r="J69" s="1722">
        <v>2150</v>
      </c>
      <c r="K69" s="1722">
        <v>2200</v>
      </c>
      <c r="L69" s="2981">
        <v>2430</v>
      </c>
      <c r="M69" s="472">
        <v>2430</v>
      </c>
      <c r="N69" s="472"/>
      <c r="O69" s="474">
        <f>P10</f>
        <v>0.19</v>
      </c>
      <c r="P69" s="524">
        <f>HLOOKUP(AI5,$H$68:$N$77,2)*(1+P10)</f>
        <v>2891.7</v>
      </c>
      <c r="Q69" s="2503"/>
      <c r="R69" s="493" t="s">
        <v>993</v>
      </c>
      <c r="S69" s="494"/>
      <c r="V69" s="502" t="s">
        <v>994</v>
      </c>
      <c r="W69" s="494"/>
      <c r="X69" s="502" t="s">
        <v>995</v>
      </c>
      <c r="Y69" s="494"/>
      <c r="AJ69"/>
      <c r="AK69"/>
      <c r="AL69"/>
      <c r="AM69"/>
      <c r="AN69"/>
      <c r="AO69"/>
      <c r="AP69"/>
      <c r="AQ69"/>
      <c r="AR69"/>
      <c r="AS69"/>
      <c r="AT69"/>
    </row>
    <row r="70" spans="1:46" ht="19.899999999999999" customHeight="1" x14ac:dyDescent="0.2">
      <c r="A70" s="2503"/>
      <c r="B70" s="188"/>
      <c r="C70" s="189" t="s">
        <v>990</v>
      </c>
      <c r="D70" s="189"/>
      <c r="E70" s="189"/>
      <c r="F70" s="258"/>
      <c r="G70" s="505"/>
      <c r="H70" s="505" t="s">
        <v>991</v>
      </c>
      <c r="I70" s="692">
        <v>30</v>
      </c>
      <c r="J70" s="692">
        <v>30</v>
      </c>
      <c r="K70" s="692">
        <v>30</v>
      </c>
      <c r="L70" s="2982">
        <v>30</v>
      </c>
      <c r="M70" s="400">
        <v>30</v>
      </c>
      <c r="N70" s="400"/>
      <c r="O70" s="364" t="s">
        <v>982</v>
      </c>
      <c r="P70" s="475">
        <f>HLOOKUP(AI5,$H$68:$N$77,3)</f>
        <v>30</v>
      </c>
      <c r="Q70" s="2503"/>
      <c r="R70" s="491" t="s">
        <v>996</v>
      </c>
      <c r="S70" s="495">
        <f>P69/P70</f>
        <v>96.39</v>
      </c>
      <c r="V70" s="491" t="s">
        <v>996</v>
      </c>
      <c r="W70" s="495">
        <f>P72/P73</f>
        <v>16.263333333333332</v>
      </c>
      <c r="X70" s="491" t="s">
        <v>996</v>
      </c>
      <c r="Y70" s="495">
        <f>P75/P76</f>
        <v>34.866999999999997</v>
      </c>
      <c r="AJ70"/>
      <c r="AK70"/>
      <c r="AL70"/>
      <c r="AM70"/>
      <c r="AN70"/>
      <c r="AO70"/>
      <c r="AP70"/>
      <c r="AQ70"/>
      <c r="AR70"/>
      <c r="AS70"/>
      <c r="AT70"/>
    </row>
    <row r="71" spans="1:46" ht="19.899999999999999" customHeight="1" x14ac:dyDescent="0.2">
      <c r="A71" s="2503"/>
      <c r="B71" s="188"/>
      <c r="C71" s="190" t="s">
        <v>992</v>
      </c>
      <c r="D71" s="190"/>
      <c r="E71" s="190"/>
      <c r="F71" s="196"/>
      <c r="G71" s="504"/>
      <c r="H71" s="504" t="s">
        <v>961</v>
      </c>
      <c r="I71" s="694">
        <v>1</v>
      </c>
      <c r="J71" s="694">
        <v>1</v>
      </c>
      <c r="K71" s="694">
        <v>1</v>
      </c>
      <c r="L71" s="2983">
        <v>1</v>
      </c>
      <c r="M71" s="545">
        <v>1</v>
      </c>
      <c r="N71" s="545"/>
      <c r="O71" s="409" t="s">
        <v>982</v>
      </c>
      <c r="P71" s="546">
        <f>HLOOKUP(AI5,$H$68:$N$77,4)</f>
        <v>1</v>
      </c>
      <c r="Q71" s="2503"/>
      <c r="R71" s="213" t="s">
        <v>997</v>
      </c>
      <c r="S71" s="3151">
        <f>P69*P71/100</f>
        <v>28.916999999999998</v>
      </c>
      <c r="V71" s="213" t="s">
        <v>997</v>
      </c>
      <c r="W71" s="3151">
        <f>P72*P74%</f>
        <v>4.8789999999999996</v>
      </c>
      <c r="X71" s="213" t="s">
        <v>997</v>
      </c>
      <c r="Y71" s="3151">
        <f>P75*P77%</f>
        <v>6.9733999999999989</v>
      </c>
      <c r="AJ71"/>
      <c r="AK71"/>
      <c r="AL71"/>
      <c r="AM71"/>
      <c r="AN71"/>
      <c r="AO71"/>
      <c r="AP71"/>
      <c r="AQ71"/>
      <c r="AR71"/>
      <c r="AS71"/>
      <c r="AT71"/>
    </row>
    <row r="72" spans="1:46" ht="19.899999999999999" customHeight="1" x14ac:dyDescent="0.2">
      <c r="A72" s="2503"/>
      <c r="B72" s="293"/>
      <c r="C72" s="532" t="s">
        <v>216</v>
      </c>
      <c r="D72" s="257"/>
      <c r="E72" s="223"/>
      <c r="F72" s="1716"/>
      <c r="G72" s="506"/>
      <c r="H72" s="506" t="s">
        <v>989</v>
      </c>
      <c r="I72" s="1722">
        <v>165</v>
      </c>
      <c r="J72" s="1722">
        <v>170</v>
      </c>
      <c r="K72" s="1722">
        <v>175</v>
      </c>
      <c r="L72" s="2981">
        <v>205</v>
      </c>
      <c r="M72" s="472">
        <v>205</v>
      </c>
      <c r="N72" s="472"/>
      <c r="O72" s="474">
        <f>P10</f>
        <v>0.19</v>
      </c>
      <c r="P72" s="524">
        <f>HLOOKUP(AI5,$H$68:$N$77,5)*(1+P10)</f>
        <v>243.95</v>
      </c>
      <c r="Q72" s="2503"/>
      <c r="R72" s="220" t="s">
        <v>998</v>
      </c>
      <c r="S72" s="3152">
        <f>P69*P31%/2</f>
        <v>36.146250000000002</v>
      </c>
      <c r="V72" s="220" t="s">
        <v>998</v>
      </c>
      <c r="W72" s="3152">
        <f>P72*P32%/2</f>
        <v>1.8296249999999998</v>
      </c>
      <c r="X72" s="220" t="s">
        <v>998</v>
      </c>
      <c r="Y72" s="3152">
        <f>P75*P32%/2</f>
        <v>2.6150249999999997</v>
      </c>
      <c r="AJ72"/>
      <c r="AK72"/>
      <c r="AL72"/>
      <c r="AM72"/>
      <c r="AN72"/>
      <c r="AO72"/>
      <c r="AP72"/>
      <c r="AQ72"/>
      <c r="AR72"/>
      <c r="AS72"/>
      <c r="AT72"/>
    </row>
    <row r="73" spans="1:46" ht="19.5" customHeight="1" x14ac:dyDescent="0.2">
      <c r="A73" s="2503"/>
      <c r="B73" s="203"/>
      <c r="C73" s="189" t="s">
        <v>990</v>
      </c>
      <c r="D73" s="189"/>
      <c r="E73" s="189"/>
      <c r="F73" s="189"/>
      <c r="G73" s="505"/>
      <c r="H73" s="505" t="s">
        <v>991</v>
      </c>
      <c r="I73" s="692">
        <v>15</v>
      </c>
      <c r="J73" s="692">
        <v>15</v>
      </c>
      <c r="K73" s="692">
        <v>15</v>
      </c>
      <c r="L73" s="2984">
        <v>15</v>
      </c>
      <c r="M73" s="473">
        <v>15</v>
      </c>
      <c r="N73" s="473"/>
      <c r="O73" s="470"/>
      <c r="P73" s="475">
        <f>HLOOKUP(AI5,$H$68:$N$77,6)</f>
        <v>15</v>
      </c>
      <c r="Q73" s="2503"/>
      <c r="R73" s="252" t="s">
        <v>999</v>
      </c>
      <c r="S73" s="496">
        <f>S70+S71+S72</f>
        <v>161.45325</v>
      </c>
      <c r="V73" s="252" t="s">
        <v>999</v>
      </c>
      <c r="W73" s="496">
        <f>W70+W71+W72</f>
        <v>22.971958333333333</v>
      </c>
      <c r="X73" s="252" t="s">
        <v>999</v>
      </c>
      <c r="Y73" s="496">
        <f>Y70+Y71+Y72</f>
        <v>44.455424999999998</v>
      </c>
      <c r="AJ73"/>
      <c r="AK73"/>
      <c r="AL73"/>
      <c r="AM73"/>
      <c r="AN73"/>
      <c r="AO73"/>
      <c r="AP73"/>
      <c r="AQ73"/>
      <c r="AR73"/>
      <c r="AS73"/>
      <c r="AT73"/>
    </row>
    <row r="74" spans="1:46" ht="19.899999999999999" customHeight="1" x14ac:dyDescent="0.2">
      <c r="A74" s="2503"/>
      <c r="B74" s="203"/>
      <c r="C74" s="190" t="s">
        <v>992</v>
      </c>
      <c r="D74" s="190"/>
      <c r="E74" s="190"/>
      <c r="F74" s="190"/>
      <c r="G74" s="504"/>
      <c r="H74" s="504" t="s">
        <v>961</v>
      </c>
      <c r="I74" s="694">
        <v>2</v>
      </c>
      <c r="J74" s="694">
        <v>2</v>
      </c>
      <c r="K74" s="694">
        <v>2</v>
      </c>
      <c r="L74" s="2985">
        <v>2</v>
      </c>
      <c r="M74" s="547">
        <v>2</v>
      </c>
      <c r="N74" s="547"/>
      <c r="O74" s="548"/>
      <c r="P74" s="546">
        <f>HLOOKUP(AI5,$H$68:$N$77,7)</f>
        <v>2</v>
      </c>
      <c r="Q74" s="2503"/>
      <c r="AJ74"/>
      <c r="AK74"/>
      <c r="AL74"/>
      <c r="AM74"/>
      <c r="AN74"/>
      <c r="AO74"/>
      <c r="AP74"/>
      <c r="AQ74"/>
      <c r="AR74"/>
      <c r="AS74"/>
      <c r="AT74"/>
    </row>
    <row r="75" spans="1:46" ht="19.899999999999999" customHeight="1" x14ac:dyDescent="0.2">
      <c r="A75" s="2503"/>
      <c r="B75" s="293"/>
      <c r="C75" s="532" t="s">
        <v>217</v>
      </c>
      <c r="D75" s="257"/>
      <c r="E75" s="223"/>
      <c r="F75" s="1716"/>
      <c r="G75" s="506"/>
      <c r="H75" s="506" t="s">
        <v>989</v>
      </c>
      <c r="I75" s="1722">
        <v>260</v>
      </c>
      <c r="J75" s="1722">
        <v>270</v>
      </c>
      <c r="K75" s="1722">
        <v>280</v>
      </c>
      <c r="L75" s="2981">
        <v>293</v>
      </c>
      <c r="M75" s="472">
        <v>293</v>
      </c>
      <c r="N75" s="472"/>
      <c r="O75" s="474">
        <f>P10</f>
        <v>0.19</v>
      </c>
      <c r="P75" s="524">
        <f>HLOOKUP(AI5,$H$68:$N$77,8)*(1+P10)</f>
        <v>348.66999999999996</v>
      </c>
      <c r="Q75" s="2503"/>
      <c r="V75" s="170" t="s">
        <v>501</v>
      </c>
      <c r="X75" s="813">
        <v>6000</v>
      </c>
      <c r="AJ75"/>
      <c r="AK75"/>
      <c r="AL75"/>
      <c r="AM75"/>
      <c r="AN75"/>
      <c r="AO75"/>
      <c r="AP75"/>
      <c r="AQ75"/>
      <c r="AR75"/>
      <c r="AS75"/>
      <c r="AT75"/>
    </row>
    <row r="76" spans="1:46" ht="19.899999999999999" customHeight="1" x14ac:dyDescent="0.2">
      <c r="A76" s="2503"/>
      <c r="B76" s="203"/>
      <c r="C76" s="189" t="s">
        <v>990</v>
      </c>
      <c r="D76" s="189"/>
      <c r="E76" s="189"/>
      <c r="F76" s="189"/>
      <c r="G76" s="505"/>
      <c r="H76" s="505" t="s">
        <v>991</v>
      </c>
      <c r="I76" s="692">
        <v>10</v>
      </c>
      <c r="J76" s="692">
        <v>10</v>
      </c>
      <c r="K76" s="692">
        <v>10</v>
      </c>
      <c r="L76" s="2984">
        <v>10</v>
      </c>
      <c r="M76" s="473">
        <v>10</v>
      </c>
      <c r="N76" s="473"/>
      <c r="O76" s="470"/>
      <c r="P76" s="475">
        <f>HLOOKUP(AI5,$H$68:$N$77,9)</f>
        <v>10</v>
      </c>
      <c r="Q76" s="2503"/>
      <c r="V76" s="170" t="s">
        <v>502</v>
      </c>
      <c r="X76" s="813">
        <v>2000</v>
      </c>
      <c r="AJ76"/>
      <c r="AK76"/>
      <c r="AL76"/>
      <c r="AM76"/>
      <c r="AN76"/>
      <c r="AO76"/>
      <c r="AP76"/>
      <c r="AQ76"/>
      <c r="AR76"/>
      <c r="AS76"/>
      <c r="AT76"/>
    </row>
    <row r="77" spans="1:46" ht="19.899999999999999" customHeight="1" x14ac:dyDescent="0.2">
      <c r="A77" s="2503"/>
      <c r="B77" s="477"/>
      <c r="C77" s="190" t="s">
        <v>992</v>
      </c>
      <c r="D77" s="190"/>
      <c r="E77" s="190"/>
      <c r="F77" s="190"/>
      <c r="G77" s="504"/>
      <c r="H77" s="504" t="s">
        <v>961</v>
      </c>
      <c r="I77" s="694">
        <v>2</v>
      </c>
      <c r="J77" s="694">
        <v>2</v>
      </c>
      <c r="K77" s="694">
        <v>2</v>
      </c>
      <c r="L77" s="2985">
        <v>2</v>
      </c>
      <c r="M77" s="547">
        <v>2</v>
      </c>
      <c r="N77" s="547"/>
      <c r="O77" s="548"/>
      <c r="P77" s="546">
        <f>HLOOKUP(AI5,$H$68:$N$77,10)</f>
        <v>2</v>
      </c>
      <c r="Q77" s="2503"/>
      <c r="R77" s="3008" t="s">
        <v>1064</v>
      </c>
      <c r="AJ77"/>
      <c r="AK77"/>
      <c r="AL77"/>
      <c r="AM77"/>
      <c r="AN77"/>
      <c r="AO77"/>
      <c r="AP77"/>
      <c r="AQ77"/>
      <c r="AR77"/>
      <c r="AS77"/>
      <c r="AT77"/>
    </row>
    <row r="78" spans="1:46" ht="16.5" x14ac:dyDescent="0.2">
      <c r="A78" s="2503"/>
      <c r="B78" s="200"/>
      <c r="C78" s="1717" t="s">
        <v>1063</v>
      </c>
      <c r="D78" s="1724"/>
      <c r="E78" s="1724"/>
      <c r="F78" s="1724"/>
      <c r="G78" s="1725"/>
      <c r="I78" s="1717" t="s">
        <v>219</v>
      </c>
      <c r="J78" s="201"/>
      <c r="K78" s="201"/>
      <c r="L78" s="201"/>
      <c r="M78" s="201"/>
      <c r="N78" s="201"/>
      <c r="O78" s="2847" t="s">
        <v>190</v>
      </c>
      <c r="P78" s="2840" t="str">
        <f>IF(AH13=1,ROUND((P69+P72+P75),0)&amp;" € einschl. Mwst.)",ROUND((P69+P72+P75),0)&amp;" € ohne Mwst.)")</f>
        <v>3484 € einschl. Mwst.)</v>
      </c>
      <c r="Q78" s="2503"/>
      <c r="R78" s="3007">
        <f>(P69+P72+P75)/(100%+O69)*100%</f>
        <v>2928</v>
      </c>
    </row>
    <row r="79" spans="1:46" ht="16.5" x14ac:dyDescent="0.2">
      <c r="A79" s="2503"/>
      <c r="B79" s="170"/>
      <c r="C79" s="1718" t="s">
        <v>218</v>
      </c>
      <c r="D79" s="1726"/>
      <c r="E79" s="1726"/>
      <c r="F79" s="1726"/>
      <c r="G79" s="1726"/>
      <c r="I79" s="1717" t="s">
        <v>1051</v>
      </c>
      <c r="J79" s="170"/>
      <c r="K79" s="170"/>
      <c r="L79" s="170"/>
      <c r="M79" s="170"/>
      <c r="N79" s="170"/>
      <c r="O79" s="170"/>
      <c r="P79" s="170"/>
      <c r="Q79" s="2503"/>
    </row>
    <row r="80" spans="1:46" ht="25.5" customHeight="1" x14ac:dyDescent="0.2">
      <c r="A80" s="2503"/>
      <c r="B80" s="164"/>
      <c r="C80" s="164"/>
      <c r="F80" s="164"/>
      <c r="G80" s="164"/>
      <c r="H80" s="164"/>
      <c r="I80" s="164"/>
      <c r="J80" s="164"/>
      <c r="K80" s="164"/>
      <c r="L80" s="164"/>
      <c r="M80" s="164"/>
      <c r="N80" s="164"/>
      <c r="O80" s="164"/>
      <c r="P80" s="164"/>
      <c r="Q80" s="2503"/>
    </row>
    <row r="81" spans="1:21" ht="19.149999999999999" customHeight="1" x14ac:dyDescent="0.25">
      <c r="A81" s="2503"/>
      <c r="B81" s="164"/>
      <c r="C81" s="988"/>
      <c r="D81" s="989"/>
      <c r="E81" s="989"/>
      <c r="F81" s="989"/>
      <c r="G81" s="989"/>
      <c r="H81" s="989"/>
      <c r="I81" s="989"/>
      <c r="K81" s="1190"/>
      <c r="L81" s="1187"/>
      <c r="M81" s="1188"/>
      <c r="N81" s="1188"/>
      <c r="O81" s="1188"/>
      <c r="P81" s="1189"/>
      <c r="Q81" s="2503"/>
    </row>
    <row r="82" spans="1:21" ht="19.149999999999999" customHeight="1" x14ac:dyDescent="0.2">
      <c r="A82" s="2503"/>
      <c r="B82" s="164"/>
      <c r="C82" s="1191"/>
      <c r="D82" s="988"/>
      <c r="E82" s="988"/>
      <c r="F82" s="988"/>
      <c r="G82" s="988"/>
      <c r="H82" s="988"/>
      <c r="I82" s="988"/>
      <c r="J82" s="189"/>
      <c r="K82" s="726"/>
      <c r="L82" s="726"/>
      <c r="M82" s="726"/>
      <c r="N82" s="988"/>
      <c r="O82" s="988"/>
      <c r="P82" s="740"/>
      <c r="Q82" s="2503"/>
      <c r="R82" s="740"/>
      <c r="S82" s="740"/>
      <c r="T82" s="740"/>
      <c r="U82" s="740"/>
    </row>
    <row r="83" spans="1:21" ht="14.25" x14ac:dyDescent="0.2">
      <c r="A83" s="164"/>
      <c r="B83" s="164"/>
      <c r="C83" s="164"/>
      <c r="D83" s="164"/>
      <c r="E83" s="164"/>
      <c r="F83" s="164"/>
      <c r="G83" s="164"/>
      <c r="H83" s="164"/>
      <c r="I83" s="164"/>
      <c r="J83" s="164"/>
      <c r="K83" s="164"/>
      <c r="L83" s="164"/>
      <c r="M83" s="164"/>
      <c r="N83" s="164"/>
      <c r="O83" s="164"/>
      <c r="P83" s="164"/>
    </row>
    <row r="84" spans="1:21" ht="14.25" x14ac:dyDescent="0.2">
      <c r="A84" s="164"/>
      <c r="C84" s="130" t="s">
        <v>890</v>
      </c>
      <c r="P84" s="164"/>
    </row>
    <row r="85" spans="1:21" ht="15" x14ac:dyDescent="0.2">
      <c r="A85" s="164"/>
      <c r="B85" s="293"/>
      <c r="C85" s="532" t="s">
        <v>884</v>
      </c>
      <c r="D85" s="532"/>
      <c r="E85" s="532"/>
      <c r="F85" s="532"/>
      <c r="G85" s="532"/>
      <c r="H85" s="954"/>
      <c r="I85" s="954"/>
      <c r="J85" s="532" t="s">
        <v>892</v>
      </c>
      <c r="K85" s="953"/>
      <c r="L85" s="954"/>
      <c r="M85" s="954"/>
      <c r="N85" s="2800" t="s">
        <v>889</v>
      </c>
      <c r="O85" s="164"/>
      <c r="P85" s="164"/>
    </row>
    <row r="86" spans="1:21" ht="15" x14ac:dyDescent="0.2">
      <c r="A86" s="164"/>
      <c r="B86" s="21"/>
      <c r="D86" s="119"/>
      <c r="E86" s="119"/>
      <c r="F86" s="119"/>
      <c r="G86" s="119"/>
      <c r="H86" s="2801" t="s">
        <v>891</v>
      </c>
      <c r="I86" s="129"/>
      <c r="J86" s="129" t="s">
        <v>887</v>
      </c>
      <c r="K86" s="118" t="s">
        <v>888</v>
      </c>
      <c r="L86" s="129"/>
      <c r="M86" s="129"/>
      <c r="N86" s="2181"/>
      <c r="O86" s="164"/>
      <c r="P86" s="164"/>
    </row>
    <row r="87" spans="1:21" ht="14.25" x14ac:dyDescent="0.2">
      <c r="A87" s="164"/>
      <c r="B87" s="21"/>
      <c r="H87" s="2776" t="s">
        <v>469</v>
      </c>
      <c r="I87" s="2776"/>
      <c r="J87" s="2776" t="s">
        <v>469</v>
      </c>
      <c r="K87" s="2776" t="s">
        <v>469</v>
      </c>
      <c r="L87" s="2776"/>
      <c r="M87" s="2776"/>
      <c r="N87" s="2798" t="s">
        <v>469</v>
      </c>
      <c r="O87" s="164"/>
      <c r="P87" s="164"/>
    </row>
    <row r="88" spans="1:21" ht="15" x14ac:dyDescent="0.2">
      <c r="A88" s="164"/>
      <c r="B88" s="2777"/>
      <c r="C88" s="2778"/>
      <c r="D88" s="2779" t="s">
        <v>885</v>
      </c>
      <c r="E88" s="2778">
        <v>6000</v>
      </c>
      <c r="F88" s="2778" t="s">
        <v>857</v>
      </c>
      <c r="G88" s="2778"/>
      <c r="H88" s="2780">
        <v>18.5</v>
      </c>
      <c r="I88" s="2781"/>
      <c r="J88" s="2780">
        <v>2.5</v>
      </c>
      <c r="K88" s="2782"/>
      <c r="L88" s="2781"/>
      <c r="M88" s="2781"/>
      <c r="N88" s="2783">
        <f>H88+J88+K88</f>
        <v>21</v>
      </c>
      <c r="O88" s="164"/>
      <c r="P88" s="164"/>
    </row>
    <row r="89" spans="1:21" ht="15" x14ac:dyDescent="0.2">
      <c r="A89" s="164"/>
      <c r="B89" s="2784"/>
      <c r="C89" s="2785"/>
      <c r="D89" s="2786" t="s">
        <v>886</v>
      </c>
      <c r="E89" s="2785">
        <v>6000</v>
      </c>
      <c r="F89" s="2785" t="s">
        <v>857</v>
      </c>
      <c r="G89" s="2785"/>
      <c r="H89" s="2787">
        <v>19</v>
      </c>
      <c r="I89" s="2788"/>
      <c r="J89" s="2787">
        <v>2.5</v>
      </c>
      <c r="K89" s="2789"/>
      <c r="L89" s="2788"/>
      <c r="M89" s="2788"/>
      <c r="N89" s="2790">
        <f>H89+J89+K89</f>
        <v>21.5</v>
      </c>
      <c r="O89" s="164"/>
      <c r="P89" s="164"/>
    </row>
    <row r="90" spans="1:21" ht="15" x14ac:dyDescent="0.2">
      <c r="A90" s="164"/>
      <c r="B90" s="2784"/>
      <c r="C90" s="2785"/>
      <c r="D90" s="2786" t="s">
        <v>886</v>
      </c>
      <c r="E90" s="2785">
        <v>7000</v>
      </c>
      <c r="F90" s="2785" t="s">
        <v>857</v>
      </c>
      <c r="G90" s="2785"/>
      <c r="H90" s="2787">
        <v>19.5</v>
      </c>
      <c r="I90" s="2788"/>
      <c r="J90" s="2787">
        <v>2.5</v>
      </c>
      <c r="K90" s="2789"/>
      <c r="L90" s="2788"/>
      <c r="M90" s="2788"/>
      <c r="N90" s="2790">
        <f>H90+J90+K90</f>
        <v>22</v>
      </c>
      <c r="O90" s="164"/>
      <c r="P90" s="164"/>
    </row>
    <row r="91" spans="1:21" ht="15" x14ac:dyDescent="0.2">
      <c r="A91" s="164"/>
      <c r="B91" s="2784"/>
      <c r="C91" s="2785"/>
      <c r="D91" s="2786" t="s">
        <v>886</v>
      </c>
      <c r="E91" s="2785">
        <v>8000</v>
      </c>
      <c r="F91" s="2785" t="s">
        <v>857</v>
      </c>
      <c r="G91" s="2785"/>
      <c r="H91" s="2787">
        <v>20</v>
      </c>
      <c r="I91" s="2788"/>
      <c r="J91" s="2787">
        <v>2.5</v>
      </c>
      <c r="K91" s="2789"/>
      <c r="L91" s="2787"/>
      <c r="M91" s="2787"/>
      <c r="N91" s="2790">
        <f>H91+J91+K91</f>
        <v>22.5</v>
      </c>
      <c r="O91" s="164"/>
      <c r="P91" s="164"/>
    </row>
    <row r="92" spans="1:21" ht="15" x14ac:dyDescent="0.2">
      <c r="A92" s="164"/>
      <c r="B92" s="2791"/>
      <c r="C92" s="2792"/>
      <c r="D92" s="2793" t="s">
        <v>886</v>
      </c>
      <c r="E92" s="2792">
        <v>9000</v>
      </c>
      <c r="F92" s="2792" t="s">
        <v>857</v>
      </c>
      <c r="G92" s="2792"/>
      <c r="H92" s="2794">
        <v>20.5</v>
      </c>
      <c r="I92" s="2795"/>
      <c r="J92" s="2794">
        <v>2.5</v>
      </c>
      <c r="K92" s="2796"/>
      <c r="L92" s="2794"/>
      <c r="M92" s="2794"/>
      <c r="N92" s="2797">
        <f>H92+J92+K92</f>
        <v>23</v>
      </c>
      <c r="O92" s="164"/>
      <c r="P92" s="164"/>
    </row>
    <row r="93" spans="1:21" ht="14.25" x14ac:dyDescent="0.2">
      <c r="A93" s="164"/>
      <c r="B93" s="164"/>
      <c r="C93" s="164"/>
      <c r="D93" s="164"/>
      <c r="E93" s="164"/>
      <c r="F93" s="164"/>
      <c r="G93" s="164"/>
      <c r="H93" s="164"/>
      <c r="I93" s="164"/>
      <c r="J93" s="164"/>
      <c r="K93" s="164"/>
      <c r="L93" s="164"/>
      <c r="M93" s="164"/>
      <c r="N93" s="164"/>
      <c r="O93" s="164"/>
      <c r="P93" s="164"/>
    </row>
    <row r="94" spans="1:21" ht="14.25" x14ac:dyDescent="0.2">
      <c r="A94" s="164"/>
      <c r="B94" s="164"/>
      <c r="C94" s="164"/>
      <c r="D94" s="164"/>
      <c r="E94" s="164"/>
      <c r="F94" s="164"/>
      <c r="G94" s="164"/>
      <c r="H94" s="164"/>
      <c r="I94" s="164"/>
      <c r="J94" s="164"/>
      <c r="K94" s="164"/>
      <c r="L94" s="164"/>
      <c r="M94" s="164"/>
      <c r="N94" s="164"/>
      <c r="O94" s="164"/>
      <c r="P94" s="164"/>
    </row>
    <row r="95" spans="1:21" ht="14.25" x14ac:dyDescent="0.2">
      <c r="A95" s="164"/>
      <c r="B95" s="164"/>
      <c r="C95" s="164"/>
      <c r="D95" s="164"/>
      <c r="E95" s="164"/>
      <c r="F95" s="164"/>
      <c r="G95" s="164"/>
      <c r="H95" s="164"/>
      <c r="I95" s="164"/>
      <c r="J95" s="164"/>
      <c r="K95" s="164"/>
      <c r="L95" s="164"/>
      <c r="M95" s="164"/>
      <c r="N95" s="164"/>
      <c r="O95" s="164"/>
      <c r="P95" s="164"/>
    </row>
    <row r="96" spans="1:21" ht="14.25" x14ac:dyDescent="0.2">
      <c r="A96" s="164"/>
      <c r="B96" s="164"/>
      <c r="C96" s="164"/>
      <c r="D96" s="164"/>
      <c r="E96" s="164"/>
      <c r="F96" s="164"/>
      <c r="G96" s="164"/>
      <c r="H96" s="164"/>
      <c r="I96" s="164"/>
      <c r="J96" s="164"/>
      <c r="K96" s="164"/>
      <c r="L96" s="164"/>
      <c r="M96" s="164"/>
      <c r="N96" s="164"/>
      <c r="O96" s="164"/>
      <c r="P96" s="164"/>
    </row>
    <row r="97" spans="1:16" ht="14.25" x14ac:dyDescent="0.2">
      <c r="A97" s="164"/>
      <c r="B97" s="164"/>
      <c r="C97" s="164" t="s">
        <v>1484</v>
      </c>
      <c r="D97" s="164"/>
      <c r="E97" s="164"/>
      <c r="F97" s="164"/>
      <c r="G97" s="164"/>
      <c r="H97" s="164"/>
      <c r="I97" s="164"/>
      <c r="J97" s="164"/>
      <c r="K97" s="164"/>
      <c r="L97" s="164"/>
      <c r="M97" s="164"/>
      <c r="N97" s="164"/>
      <c r="O97" s="164"/>
    </row>
    <row r="98" spans="1:16" ht="14.25" x14ac:dyDescent="0.2">
      <c r="A98" s="164"/>
      <c r="B98" s="164"/>
      <c r="C98" s="164"/>
      <c r="D98" s="164"/>
      <c r="E98" s="164"/>
      <c r="F98" s="164"/>
      <c r="G98" s="164"/>
      <c r="H98" s="164"/>
      <c r="I98" s="164"/>
      <c r="J98" s="164"/>
      <c r="K98" s="164"/>
      <c r="L98" s="164"/>
      <c r="M98" s="164"/>
      <c r="N98" s="164"/>
      <c r="O98" s="164"/>
    </row>
    <row r="99" spans="1:16" ht="14.25" x14ac:dyDescent="0.2">
      <c r="A99" s="164"/>
      <c r="B99" s="164"/>
      <c r="C99" s="164"/>
      <c r="D99"/>
      <c r="E99"/>
      <c r="F99"/>
      <c r="G99"/>
      <c r="H99"/>
      <c r="I99"/>
      <c r="J99"/>
      <c r="K99"/>
      <c r="L99"/>
      <c r="M99"/>
      <c r="N99"/>
      <c r="O99"/>
      <c r="P99" s="164"/>
    </row>
    <row r="100" spans="1:16" ht="14.25" x14ac:dyDescent="0.2">
      <c r="A100" s="164"/>
      <c r="B100" s="164"/>
      <c r="C100" s="164"/>
      <c r="D100"/>
      <c r="E100"/>
      <c r="F100"/>
      <c r="G100"/>
      <c r="H100"/>
      <c r="I100"/>
      <c r="J100"/>
      <c r="K100"/>
      <c r="L100"/>
      <c r="M100"/>
      <c r="N100"/>
      <c r="O100"/>
      <c r="P100" s="164"/>
    </row>
    <row r="101" spans="1:16" ht="14.25" x14ac:dyDescent="0.2">
      <c r="A101" s="164"/>
      <c r="B101" s="164"/>
      <c r="C101" s="164"/>
      <c r="D101"/>
      <c r="E101"/>
      <c r="F101"/>
      <c r="G101"/>
      <c r="H101"/>
      <c r="I101"/>
      <c r="J101"/>
      <c r="K101"/>
      <c r="L101"/>
      <c r="M101"/>
      <c r="N101"/>
      <c r="O101"/>
      <c r="P101" s="164"/>
    </row>
    <row r="102" spans="1:16" ht="14.25" x14ac:dyDescent="0.2">
      <c r="A102" s="164"/>
      <c r="B102" s="164"/>
      <c r="C102" s="164"/>
      <c r="D102"/>
      <c r="E102"/>
      <c r="F102"/>
      <c r="G102"/>
      <c r="H102"/>
      <c r="I102"/>
      <c r="J102"/>
      <c r="K102"/>
      <c r="L102"/>
      <c r="M102"/>
      <c r="N102"/>
      <c r="O102"/>
      <c r="P102" s="164"/>
    </row>
    <row r="103" spans="1:16" x14ac:dyDescent="0.2">
      <c r="D103"/>
      <c r="E103"/>
      <c r="F103"/>
      <c r="G103"/>
      <c r="H103"/>
      <c r="I103"/>
      <c r="J103"/>
      <c r="K103"/>
      <c r="L103"/>
      <c r="M103"/>
      <c r="N103"/>
      <c r="O103"/>
    </row>
    <row r="104" spans="1:16" x14ac:dyDescent="0.2">
      <c r="D104"/>
      <c r="E104"/>
      <c r="F104"/>
      <c r="G104"/>
      <c r="H104"/>
      <c r="I104"/>
      <c r="J104"/>
      <c r="K104"/>
      <c r="L104"/>
      <c r="M104"/>
      <c r="N104"/>
      <c r="O104"/>
    </row>
    <row r="105" spans="1:16" x14ac:dyDescent="0.2">
      <c r="D105"/>
      <c r="E105"/>
      <c r="F105"/>
      <c r="G105"/>
      <c r="H105"/>
      <c r="I105"/>
      <c r="J105"/>
      <c r="K105"/>
      <c r="L105"/>
      <c r="M105"/>
      <c r="N105"/>
      <c r="O105"/>
    </row>
    <row r="106" spans="1:16" x14ac:dyDescent="0.2">
      <c r="D106"/>
      <c r="E106"/>
      <c r="F106"/>
      <c r="G106"/>
      <c r="H106"/>
      <c r="I106"/>
      <c r="J106"/>
      <c r="K106"/>
      <c r="L106"/>
      <c r="M106"/>
      <c r="N106"/>
      <c r="O106"/>
    </row>
    <row r="120" spans="4:22" x14ac:dyDescent="0.2">
      <c r="D120" s="130" t="s">
        <v>1514</v>
      </c>
    </row>
    <row r="127" spans="4:22" x14ac:dyDescent="0.2">
      <c r="V127" s="170">
        <v>106.4</v>
      </c>
    </row>
    <row r="128" spans="4:22" x14ac:dyDescent="0.2">
      <c r="V128" s="170">
        <v>107.3</v>
      </c>
    </row>
    <row r="129" spans="15:22" x14ac:dyDescent="0.2">
      <c r="V129" s="170">
        <v>107.9</v>
      </c>
    </row>
    <row r="130" spans="15:22" x14ac:dyDescent="0.2">
      <c r="V130" s="170">
        <v>108.3</v>
      </c>
    </row>
    <row r="131" spans="15:22" x14ac:dyDescent="0.2">
      <c r="V131" s="3043">
        <f>AVERAGE(V127:V130)</f>
        <v>107.47500000000001</v>
      </c>
    </row>
    <row r="133" spans="15:22" x14ac:dyDescent="0.2">
      <c r="V133" s="170">
        <v>108.5</v>
      </c>
    </row>
    <row r="134" spans="15:22" x14ac:dyDescent="0.2">
      <c r="V134" s="170">
        <v>109.4</v>
      </c>
    </row>
    <row r="135" spans="15:22" x14ac:dyDescent="0.2">
      <c r="V135" s="170">
        <v>109.7</v>
      </c>
    </row>
    <row r="136" spans="15:22" x14ac:dyDescent="0.2">
      <c r="V136" s="646">
        <f>AVERAGE(V133:V135)</f>
        <v>109.2</v>
      </c>
    </row>
    <row r="138" spans="15:22" x14ac:dyDescent="0.2">
      <c r="P138" s="120"/>
    </row>
    <row r="139" spans="15:22" x14ac:dyDescent="0.2">
      <c r="P139" s="120"/>
    </row>
    <row r="140" spans="15:22" x14ac:dyDescent="0.2">
      <c r="P140" s="120"/>
    </row>
    <row r="141" spans="15:22" x14ac:dyDescent="0.2">
      <c r="P141" s="120"/>
    </row>
    <row r="142" spans="15:22" x14ac:dyDescent="0.2">
      <c r="O142" s="129"/>
      <c r="P142" s="3044"/>
    </row>
    <row r="143" spans="15:22" x14ac:dyDescent="0.2">
      <c r="P143" s="120"/>
    </row>
    <row r="144" spans="15:22" x14ac:dyDescent="0.2">
      <c r="P144" s="120"/>
    </row>
    <row r="145" spans="15:16" x14ac:dyDescent="0.2">
      <c r="P145" s="120"/>
    </row>
    <row r="146" spans="15:16" x14ac:dyDescent="0.2">
      <c r="P146" s="120"/>
    </row>
    <row r="147" spans="15:16" x14ac:dyDescent="0.2">
      <c r="O147" s="129"/>
      <c r="P147" s="129"/>
    </row>
    <row r="184" spans="4:4" x14ac:dyDescent="0.2">
      <c r="D184" s="3045"/>
    </row>
  </sheetData>
  <sheetProtection sheet="1" objects="1" scenarios="1"/>
  <mergeCells count="1">
    <mergeCell ref="I43:O43"/>
  </mergeCells>
  <phoneticPr fontId="0" type="noConversion"/>
  <dataValidations count="1">
    <dataValidation type="list" allowBlank="1" showInputMessage="1" showErrorMessage="1" sqref="P17">
      <formula1>$S$17:$S$22</formula1>
    </dataValidation>
  </dataValidations>
  <pageMargins left="0.59055118110236227" right="0.19685039370078741" top="0.6692913385826772" bottom="0.51181102362204722" header="0.19685039370078741" footer="0.19685039370078741"/>
  <pageSetup paperSize="9" scale="64" firstPageNumber="6" fitToHeight="2" orientation="portrait" blackAndWhite="1" useFirstPageNumber="1" r:id="rId1"/>
  <headerFooter alignWithMargins="0">
    <oddFooter>&amp;L&amp;9LEL Schwäb. Gmünd
&amp;D&amp;C&amp;"Arial,Fett"&amp;12&amp;P&amp;R&amp;9Kalkulationsdaten Milchviehhaltung;
&amp;F &amp;A</oddFooter>
  </headerFooter>
  <rowBreaks count="1" manualBreakCount="1">
    <brk id="5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374" r:id="rId4" name="Drop Down 278">
              <controlPr defaultSize="0" autoLine="0" autoPict="0">
                <anchor moveWithCells="1">
                  <from>
                    <xdr:col>15</xdr:col>
                    <xdr:colOff>104775</xdr:colOff>
                    <xdr:row>3</xdr:row>
                    <xdr:rowOff>47625</xdr:rowOff>
                  </from>
                  <to>
                    <xdr:col>15</xdr:col>
                    <xdr:colOff>857250</xdr:colOff>
                    <xdr:row>3</xdr:row>
                    <xdr:rowOff>266700</xdr:rowOff>
                  </to>
                </anchor>
              </controlPr>
            </control>
          </mc:Choice>
        </mc:AlternateContent>
        <mc:AlternateContent xmlns:mc="http://schemas.openxmlformats.org/markup-compatibility/2006">
          <mc:Choice Requires="x14">
            <control shapeId="4380" r:id="rId5" name="Drop Down 284">
              <controlPr defaultSize="0" autoLine="0" autoPict="0">
                <anchor moveWithCells="1">
                  <from>
                    <xdr:col>13</xdr:col>
                    <xdr:colOff>76200</xdr:colOff>
                    <xdr:row>4</xdr:row>
                    <xdr:rowOff>66675</xdr:rowOff>
                  </from>
                  <to>
                    <xdr:col>15</xdr:col>
                    <xdr:colOff>876300</xdr:colOff>
                    <xdr:row>4</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FFFF00"/>
    <pageSetUpPr fitToPage="1"/>
  </sheetPr>
  <dimension ref="A1:DN250"/>
  <sheetViews>
    <sheetView showGridLines="0" showZeros="0" zoomScale="90" workbookViewId="0">
      <pane xSplit="5" ySplit="6" topLeftCell="F7" activePane="bottomRight" state="frozen"/>
      <selection activeCell="N4" sqref="N4"/>
      <selection pane="topRight" activeCell="N4" sqref="N4"/>
      <selection pane="bottomLeft" activeCell="N4" sqref="N4"/>
      <selection pane="bottomRight" activeCell="M46" sqref="M46"/>
    </sheetView>
  </sheetViews>
  <sheetFormatPr baseColWidth="10" defaultColWidth="11.5703125" defaultRowHeight="12.75" x14ac:dyDescent="0.2"/>
  <cols>
    <col min="1" max="1" width="2" style="108" customWidth="1"/>
    <col min="2" max="2" width="1.140625" style="130" customWidth="1"/>
    <col min="3" max="3" width="5.7109375" style="130" customWidth="1"/>
    <col min="4" max="4" width="13.85546875" style="130" customWidth="1"/>
    <col min="5" max="5" width="19.42578125" style="130" customWidth="1"/>
    <col min="6" max="6" width="14.85546875" style="480" customWidth="1"/>
    <col min="7" max="7" width="10.7109375" style="120" customWidth="1"/>
    <col min="8" max="8" width="9.42578125" style="120" customWidth="1"/>
    <col min="9" max="12" width="8.7109375" style="120" customWidth="1"/>
    <col min="13" max="13" width="15.7109375" style="120" customWidth="1"/>
    <col min="14" max="14" width="10.85546875" style="130" customWidth="1"/>
    <col min="15" max="15" width="3.28515625" customWidth="1"/>
    <col min="16" max="18" width="10.42578125" style="170" customWidth="1"/>
    <col min="19" max="19" width="34.42578125" style="170" customWidth="1"/>
    <col min="20" max="20" width="14.85546875" style="170" customWidth="1"/>
    <col min="21" max="25" width="11.5703125" style="170" customWidth="1"/>
    <col min="26" max="26" width="11.7109375" style="170" customWidth="1"/>
    <col min="27" max="40" width="11.5703125" style="170" customWidth="1"/>
    <col min="41" max="41" width="13.42578125" style="170" bestFit="1" customWidth="1"/>
    <col min="42" max="42" width="13.7109375" style="170" bestFit="1" customWidth="1"/>
    <col min="43" max="49" width="11.5703125" style="170" customWidth="1"/>
    <col min="50" max="50" width="13.7109375" style="170" bestFit="1" customWidth="1"/>
    <col min="51" max="52" width="11.5703125" style="170" customWidth="1"/>
    <col min="53" max="53" width="12.5703125" style="170" customWidth="1"/>
    <col min="54" max="62" width="11.5703125" style="170" customWidth="1"/>
    <col min="63" max="66" width="11.5703125" style="488" customWidth="1"/>
    <col min="67" max="69" width="11.5703125" style="278" customWidth="1"/>
    <col min="70" max="87" width="11.5703125" style="170" customWidth="1"/>
    <col min="88" max="88" width="11.7109375" style="170" bestFit="1" customWidth="1"/>
    <col min="89" max="101" width="11.5703125" style="170" customWidth="1"/>
    <col min="102" max="102" width="18.5703125" style="170" customWidth="1"/>
    <col min="103" max="107" width="11.5703125" style="170" customWidth="1"/>
    <col min="108" max="108" width="11.7109375" style="170" bestFit="1" customWidth="1"/>
    <col min="109" max="112" width="11.5703125" style="170" customWidth="1"/>
    <col min="113" max="113" width="11.5703125" style="2182" customWidth="1"/>
    <col min="114" max="114" width="20.28515625" style="2182" customWidth="1"/>
    <col min="115" max="117" width="11.5703125" style="2182" customWidth="1"/>
    <col min="118" max="16384" width="11.5703125" style="170"/>
  </cols>
  <sheetData>
    <row r="1" spans="1:117" s="108" customFormat="1" ht="22.15" customHeight="1" x14ac:dyDescent="0.2">
      <c r="A1" s="2503"/>
      <c r="B1" s="2503"/>
      <c r="C1" s="2503" t="s">
        <v>1006</v>
      </c>
      <c r="D1" s="2503"/>
      <c r="E1" s="2503"/>
      <c r="F1" s="2503"/>
      <c r="G1" s="2503"/>
      <c r="H1" s="2503"/>
      <c r="I1" s="2503"/>
      <c r="J1" s="2503"/>
      <c r="K1" s="2503"/>
      <c r="L1" s="2503"/>
      <c r="M1" s="2503"/>
      <c r="N1" s="2503"/>
      <c r="O1" s="2503"/>
      <c r="P1" s="130"/>
      <c r="Q1" s="130"/>
      <c r="R1" s="130"/>
      <c r="BK1" s="643"/>
      <c r="BL1" s="643"/>
      <c r="BM1" s="643"/>
      <c r="BN1" s="643"/>
      <c r="DI1" s="105"/>
      <c r="DJ1" s="105"/>
      <c r="DK1" s="105"/>
      <c r="DL1" s="105"/>
      <c r="DM1" s="105"/>
    </row>
    <row r="2" spans="1:117" s="108" customFormat="1" ht="20.25" x14ac:dyDescent="0.2">
      <c r="A2" s="2503"/>
      <c r="B2" s="206" t="s">
        <v>1007</v>
      </c>
      <c r="C2" s="168"/>
      <c r="D2" s="168"/>
      <c r="E2" s="168"/>
      <c r="F2" s="255"/>
      <c r="G2" s="169" t="s">
        <v>1008</v>
      </c>
      <c r="I2" s="168"/>
      <c r="J2" s="168"/>
      <c r="K2" s="168"/>
      <c r="L2" s="168"/>
      <c r="M2" s="168"/>
      <c r="N2" s="822" t="s">
        <v>520</v>
      </c>
      <c r="O2" s="2503"/>
      <c r="P2" s="130"/>
      <c r="Q2" s="130"/>
      <c r="R2" s="130"/>
      <c r="BK2" s="643"/>
      <c r="BL2" s="643"/>
      <c r="BM2" s="643"/>
      <c r="BN2" s="643"/>
      <c r="DI2" s="105"/>
      <c r="DJ2" s="105"/>
      <c r="DK2" s="105"/>
      <c r="DL2" s="105"/>
      <c r="DM2" s="105"/>
    </row>
    <row r="3" spans="1:117" s="108" customFormat="1" ht="26.45" customHeight="1" x14ac:dyDescent="0.2">
      <c r="A3" s="2503"/>
      <c r="B3" s="159" t="s">
        <v>879</v>
      </c>
      <c r="D3" s="3000">
        <f>Deckbl!E22</f>
        <v>44531</v>
      </c>
      <c r="E3" s="172"/>
      <c r="F3" s="481"/>
      <c r="G3" s="444" t="s">
        <v>1009</v>
      </c>
      <c r="I3" s="173"/>
      <c r="J3" s="173"/>
      <c r="K3" s="173"/>
      <c r="L3" s="173"/>
      <c r="M3" s="173"/>
      <c r="N3" s="78">
        <f>Stammdaten!AI5</f>
        <v>2022</v>
      </c>
      <c r="O3" s="2503"/>
      <c r="P3" s="130"/>
      <c r="Q3" s="130"/>
      <c r="R3" s="130"/>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BK3" s="643"/>
      <c r="BL3" s="643"/>
      <c r="BM3" s="643"/>
      <c r="BN3" s="643"/>
      <c r="DI3" s="105"/>
      <c r="DJ3" s="105"/>
      <c r="DK3" s="105"/>
      <c r="DL3" s="105"/>
      <c r="DM3" s="105"/>
    </row>
    <row r="4" spans="1:117" s="108" customFormat="1" ht="2.25" customHeight="1" x14ac:dyDescent="0.2">
      <c r="A4" s="2503"/>
      <c r="B4" s="170"/>
      <c r="C4" s="168"/>
      <c r="D4" s="168"/>
      <c r="E4" s="168"/>
      <c r="F4" s="255"/>
      <c r="G4" s="168"/>
      <c r="H4" s="168"/>
      <c r="I4" s="168"/>
      <c r="J4" s="168"/>
      <c r="K4" s="168"/>
      <c r="L4" s="168"/>
      <c r="M4" s="168"/>
      <c r="N4" s="168"/>
      <c r="O4" s="2503"/>
      <c r="P4" s="130"/>
      <c r="Q4" s="130"/>
      <c r="R4" s="130"/>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BK4" s="643"/>
      <c r="BL4" s="643"/>
      <c r="BM4" s="643"/>
      <c r="BN4" s="643"/>
      <c r="DI4" s="105"/>
      <c r="DJ4" s="105"/>
      <c r="DK4" s="105"/>
      <c r="DL4" s="105"/>
      <c r="DM4" s="105"/>
    </row>
    <row r="5" spans="1:117" s="108" customFormat="1" ht="54.75" customHeight="1" x14ac:dyDescent="0.2">
      <c r="A5" s="2503"/>
      <c r="B5" s="207"/>
      <c r="C5" s="113"/>
      <c r="D5" s="113"/>
      <c r="E5" s="113"/>
      <c r="F5" s="482"/>
      <c r="G5" s="208" t="s">
        <v>1010</v>
      </c>
      <c r="H5" s="209"/>
      <c r="I5" s="210"/>
      <c r="J5" s="1727"/>
      <c r="K5" s="1727"/>
      <c r="L5" s="211"/>
      <c r="M5" s="385"/>
      <c r="N5" s="448" t="str">
        <f>IF(Stammdaten!AH13=1,"Aktuell einschl. Mwst.","Aktuell ohne Mwst.")</f>
        <v>Aktuell einschl. Mwst.</v>
      </c>
      <c r="O5" s="2503"/>
      <c r="P5" s="130" t="s">
        <v>508</v>
      </c>
      <c r="Q5" s="130"/>
      <c r="R5" s="130"/>
      <c r="S5" s="174"/>
      <c r="T5" s="174"/>
      <c r="U5" s="174"/>
      <c r="V5"/>
      <c r="W5"/>
      <c r="X5"/>
      <c r="Y5"/>
      <c r="Z5"/>
      <c r="AA5"/>
      <c r="AB5"/>
      <c r="AC5"/>
      <c r="AD5"/>
      <c r="AE5"/>
      <c r="AF5"/>
      <c r="AG5" s="174"/>
      <c r="AH5" s="174"/>
      <c r="AI5" s="174"/>
      <c r="AJ5" s="174"/>
      <c r="AK5" s="174"/>
      <c r="AL5" s="174"/>
      <c r="AM5" s="174"/>
      <c r="AN5" s="174"/>
      <c r="AO5" s="174"/>
      <c r="AP5" s="174"/>
      <c r="AQ5" s="174"/>
      <c r="BK5" s="643"/>
      <c r="BL5" s="643"/>
      <c r="BM5" s="643"/>
      <c r="BN5" s="643"/>
      <c r="DI5" s="105"/>
      <c r="DJ5" s="105"/>
      <c r="DK5" s="105"/>
      <c r="DL5" s="105"/>
      <c r="DM5" s="105"/>
    </row>
    <row r="6" spans="1:117" s="108" customFormat="1" ht="24.75" customHeight="1" x14ac:dyDescent="0.2">
      <c r="A6" s="2503"/>
      <c r="B6" s="207"/>
      <c r="C6" s="113"/>
      <c r="D6" s="113"/>
      <c r="E6" s="113"/>
      <c r="F6" s="483"/>
      <c r="G6" s="270">
        <v>2016</v>
      </c>
      <c r="H6" s="270">
        <v>2017</v>
      </c>
      <c r="I6" s="271">
        <v>2018</v>
      </c>
      <c r="J6" s="272">
        <v>2021</v>
      </c>
      <c r="K6" s="272">
        <v>2022</v>
      </c>
      <c r="L6" s="272">
        <v>2023</v>
      </c>
      <c r="M6" s="1508" t="s">
        <v>780</v>
      </c>
      <c r="N6" s="273">
        <f>N3</f>
        <v>2022</v>
      </c>
      <c r="O6" s="2503"/>
      <c r="P6" s="130">
        <v>1</v>
      </c>
      <c r="Q6" s="130"/>
      <c r="R6" s="130"/>
      <c r="S6" s="174"/>
      <c r="V6"/>
      <c r="W6"/>
      <c r="X6"/>
      <c r="Y6"/>
      <c r="Z6"/>
      <c r="AA6"/>
      <c r="AB6"/>
      <c r="AC6"/>
      <c r="AD6"/>
      <c r="AE6"/>
      <c r="AF6"/>
      <c r="AG6" s="174"/>
      <c r="AH6" s="174"/>
      <c r="AI6" s="174"/>
      <c r="AJ6" s="174"/>
      <c r="AK6" s="174"/>
      <c r="AL6" s="174"/>
      <c r="AM6" s="174"/>
      <c r="AN6" s="174"/>
      <c r="AO6" s="174"/>
      <c r="AP6" s="174"/>
      <c r="AQ6" s="174"/>
      <c r="BK6" s="643"/>
      <c r="BL6" s="643"/>
      <c r="BM6" s="643"/>
      <c r="BN6" s="643"/>
      <c r="DI6" s="105"/>
      <c r="DJ6" s="105"/>
      <c r="DK6" s="105"/>
      <c r="DL6" s="105"/>
      <c r="DM6" s="105"/>
    </row>
    <row r="7" spans="1:117" s="108" customFormat="1" ht="24.75" customHeight="1" x14ac:dyDescent="0.2">
      <c r="A7" s="2503"/>
      <c r="B7" s="207" t="s">
        <v>608</v>
      </c>
      <c r="C7" s="113"/>
      <c r="D7" s="113"/>
      <c r="E7" s="113"/>
      <c r="F7" s="484"/>
      <c r="G7" s="265"/>
      <c r="H7" s="265"/>
      <c r="I7" s="1512"/>
      <c r="J7" s="266"/>
      <c r="K7" s="266"/>
      <c r="L7" s="266"/>
      <c r="M7" s="386" t="s">
        <v>961</v>
      </c>
      <c r="N7" s="389"/>
      <c r="O7" s="2503"/>
      <c r="P7" s="130">
        <f>P6+1</f>
        <v>2</v>
      </c>
      <c r="Q7" s="130"/>
      <c r="R7" s="130"/>
      <c r="S7" s="174"/>
      <c r="V7"/>
      <c r="W7"/>
      <c r="X7"/>
      <c r="Y7"/>
      <c r="Z7"/>
      <c r="AA7"/>
      <c r="AB7"/>
      <c r="AC7"/>
      <c r="AD7"/>
      <c r="AE7"/>
      <c r="AF7"/>
      <c r="AG7" s="174"/>
      <c r="AH7" s="174"/>
      <c r="AI7" s="174"/>
      <c r="AJ7" s="174"/>
      <c r="AK7" s="174"/>
      <c r="AL7" s="174"/>
      <c r="AM7" s="174"/>
      <c r="AN7" s="174"/>
      <c r="AO7" s="174"/>
      <c r="AP7" s="174"/>
      <c r="AQ7" s="174"/>
      <c r="BK7" s="643"/>
      <c r="BL7" s="643"/>
      <c r="BM7" s="643"/>
      <c r="BN7" s="643"/>
      <c r="DI7" s="105"/>
      <c r="DJ7" s="105"/>
      <c r="DK7" s="105"/>
      <c r="DL7" s="105"/>
      <c r="DM7" s="105"/>
    </row>
    <row r="8" spans="1:117" s="108" customFormat="1" ht="24.75" customHeight="1" x14ac:dyDescent="0.2">
      <c r="A8" s="2503"/>
      <c r="B8" s="188"/>
      <c r="C8" s="130"/>
      <c r="D8" s="3937" t="s">
        <v>1053</v>
      </c>
      <c r="E8" s="189" t="s">
        <v>1050</v>
      </c>
      <c r="F8" s="449" t="s">
        <v>822</v>
      </c>
      <c r="G8" s="2057">
        <v>221.8</v>
      </c>
      <c r="H8" s="2057">
        <v>221.8</v>
      </c>
      <c r="I8" s="3047">
        <v>221.8</v>
      </c>
      <c r="J8" s="2058">
        <v>540</v>
      </c>
      <c r="K8" s="2058">
        <v>595</v>
      </c>
      <c r="L8" s="2058"/>
      <c r="M8" s="3039"/>
      <c r="N8" s="389"/>
      <c r="O8" s="2503"/>
      <c r="P8" s="130">
        <f>P7+1</f>
        <v>3</v>
      </c>
      <c r="Q8" s="130"/>
      <c r="R8" s="130"/>
      <c r="S8" s="187"/>
      <c r="U8" s="108" t="s">
        <v>1234</v>
      </c>
      <c r="V8"/>
      <c r="W8"/>
      <c r="X8"/>
      <c r="Y8"/>
      <c r="Z8"/>
      <c r="AA8"/>
      <c r="AB8"/>
      <c r="AC8"/>
      <c r="AD8"/>
      <c r="AE8"/>
      <c r="AF8"/>
      <c r="AG8" s="174"/>
      <c r="AH8" s="174"/>
      <c r="AI8" s="174"/>
      <c r="AJ8" s="174"/>
      <c r="AK8" s="174"/>
      <c r="AL8" s="174"/>
      <c r="AM8" s="174"/>
      <c r="AN8" s="174"/>
      <c r="AO8" s="174"/>
      <c r="AP8" s="174"/>
      <c r="AQ8" s="174"/>
      <c r="BK8" s="643"/>
      <c r="BL8" s="643"/>
      <c r="BM8" s="643"/>
      <c r="BN8" s="643"/>
      <c r="DI8" s="105"/>
      <c r="DJ8" s="105"/>
      <c r="DK8" s="105"/>
      <c r="DL8" s="105"/>
      <c r="DM8" s="105"/>
    </row>
    <row r="9" spans="1:117" s="108" customFormat="1" ht="20.100000000000001" customHeight="1" x14ac:dyDescent="0.2">
      <c r="A9" s="2503"/>
      <c r="B9" s="213"/>
      <c r="C9" s="189"/>
      <c r="D9" s="3937"/>
      <c r="E9" s="189" t="s">
        <v>1052</v>
      </c>
      <c r="F9" s="449" t="s">
        <v>822</v>
      </c>
      <c r="G9" s="275">
        <v>169.8</v>
      </c>
      <c r="H9" s="275">
        <v>169.8</v>
      </c>
      <c r="I9" s="276">
        <v>169.8</v>
      </c>
      <c r="J9" s="277">
        <v>235</v>
      </c>
      <c r="K9" s="277">
        <v>400</v>
      </c>
      <c r="L9" s="277"/>
      <c r="M9" s="387"/>
      <c r="N9" s="390"/>
      <c r="O9" s="2503"/>
      <c r="P9" s="130">
        <f>P8+1</f>
        <v>4</v>
      </c>
      <c r="Q9" s="130"/>
      <c r="R9" s="130"/>
      <c r="S9" s="187"/>
      <c r="V9"/>
      <c r="W9"/>
      <c r="X9"/>
      <c r="Y9"/>
      <c r="Z9"/>
      <c r="AA9"/>
      <c r="AB9"/>
      <c r="AC9"/>
      <c r="AD9"/>
      <c r="AE9"/>
      <c r="AF9"/>
      <c r="AG9" s="174"/>
      <c r="AH9" s="174"/>
      <c r="AI9" s="174"/>
      <c r="AJ9" s="174"/>
      <c r="AK9" s="174"/>
      <c r="AL9" s="174"/>
      <c r="AM9" s="174"/>
      <c r="AN9" s="174"/>
      <c r="AO9" s="174"/>
      <c r="AP9" s="174"/>
      <c r="AQ9" s="174"/>
      <c r="BK9" s="643"/>
      <c r="BL9" s="643"/>
      <c r="BM9" s="643"/>
      <c r="BN9" s="643"/>
      <c r="DI9" s="105"/>
      <c r="DJ9" s="105"/>
      <c r="DK9" s="105"/>
      <c r="DL9" s="105"/>
      <c r="DM9" s="105"/>
    </row>
    <row r="10" spans="1:117" s="108" customFormat="1" ht="19.5" customHeight="1" x14ac:dyDescent="0.2">
      <c r="A10" s="2503"/>
      <c r="B10" s="117"/>
      <c r="C10" s="189"/>
      <c r="D10" s="189" t="s">
        <v>1012</v>
      </c>
      <c r="E10" s="189"/>
      <c r="F10" s="449" t="s">
        <v>960</v>
      </c>
      <c r="G10" s="275">
        <v>2.2200000000000002</v>
      </c>
      <c r="H10" s="275">
        <v>2.2200000000000002</v>
      </c>
      <c r="I10" s="275">
        <v>2.2200000000000002</v>
      </c>
      <c r="J10" s="275">
        <v>3.4</v>
      </c>
      <c r="K10" s="276">
        <v>5.56</v>
      </c>
      <c r="L10" s="276"/>
      <c r="M10" s="387"/>
      <c r="N10" s="390"/>
      <c r="O10" s="2503"/>
      <c r="P10" s="130">
        <f t="shared" ref="P10:P74" si="0">P9+1</f>
        <v>5</v>
      </c>
      <c r="Q10" s="130"/>
      <c r="R10" s="130"/>
      <c r="S10" s="187"/>
      <c r="V10"/>
      <c r="W10"/>
      <c r="X10"/>
      <c r="Y10"/>
      <c r="Z10"/>
      <c r="AA10"/>
      <c r="AB10"/>
      <c r="AC10"/>
      <c r="AD10"/>
      <c r="AE10"/>
      <c r="AF10"/>
      <c r="AG10" s="174"/>
      <c r="AH10" s="174"/>
      <c r="AI10" s="174"/>
      <c r="AJ10" s="174"/>
      <c r="AK10" s="174"/>
      <c r="AL10" s="174"/>
      <c r="AM10" s="174"/>
      <c r="AN10" s="174"/>
      <c r="AO10" s="174"/>
      <c r="AP10" s="174"/>
      <c r="AQ10" s="174"/>
      <c r="BK10" s="643"/>
      <c r="BL10" s="643"/>
      <c r="BM10" s="643"/>
      <c r="BN10" s="643"/>
      <c r="DI10" s="105"/>
      <c r="DJ10" s="105"/>
      <c r="DK10" s="105"/>
      <c r="DL10" s="105"/>
      <c r="DM10" s="105"/>
    </row>
    <row r="11" spans="1:117" s="108" customFormat="1" ht="7.5" customHeight="1" x14ac:dyDescent="0.2">
      <c r="A11" s="2503"/>
      <c r="B11" s="214"/>
      <c r="C11" s="138"/>
      <c r="D11" s="138"/>
      <c r="E11" s="138"/>
      <c r="F11" s="485"/>
      <c r="G11" s="267"/>
      <c r="H11" s="267"/>
      <c r="I11" s="267"/>
      <c r="J11" s="268"/>
      <c r="K11" s="268"/>
      <c r="L11" s="1513"/>
      <c r="M11" s="388"/>
      <c r="N11" s="391">
        <f>HLOOKUP($N$6,$G$6:$L$90,INDEX($P$6:$P$90,P11))+HLOOKUP($N$6,$G$6:$L$90,INDEX($P$6:$P$90,P11))*M11/100</f>
        <v>0</v>
      </c>
      <c r="O11" s="2503"/>
      <c r="P11" s="130">
        <f t="shared" si="0"/>
        <v>6</v>
      </c>
      <c r="Q11" s="130"/>
      <c r="R11" s="130"/>
      <c r="S11" s="174"/>
      <c r="V11"/>
      <c r="W11"/>
      <c r="X11"/>
      <c r="Y11"/>
      <c r="Z11"/>
      <c r="AA11"/>
      <c r="AB11"/>
      <c r="AC11"/>
      <c r="AD11"/>
      <c r="AE11"/>
      <c r="AF11"/>
      <c r="AG11" s="174"/>
      <c r="AH11" s="174"/>
      <c r="AI11" s="174"/>
      <c r="AJ11" s="174"/>
      <c r="AK11" s="174"/>
      <c r="AL11" s="174"/>
      <c r="AM11" s="174"/>
      <c r="AN11" s="174"/>
      <c r="AO11" s="174"/>
      <c r="AP11" s="174"/>
      <c r="AQ11" s="174"/>
      <c r="BK11" s="643"/>
      <c r="BL11" s="643"/>
      <c r="BM11" s="643"/>
      <c r="BN11" s="643"/>
      <c r="DI11" s="105"/>
      <c r="DJ11" s="105"/>
      <c r="DK11" s="105"/>
      <c r="DL11" s="105"/>
      <c r="DM11" s="105"/>
    </row>
    <row r="12" spans="1:117" s="108" customFormat="1" ht="25.5" customHeight="1" x14ac:dyDescent="0.2">
      <c r="A12" s="2503"/>
      <c r="B12" s="215" t="s">
        <v>702</v>
      </c>
      <c r="C12" s="130"/>
      <c r="D12" s="130"/>
      <c r="E12" s="130"/>
      <c r="F12" s="486"/>
      <c r="G12" s="265"/>
      <c r="H12" s="265"/>
      <c r="I12" s="265"/>
      <c r="J12" s="269"/>
      <c r="K12" s="269"/>
      <c r="L12" s="269"/>
      <c r="M12" s="3040" t="str">
        <f>Stammdaten!O7</f>
        <v/>
      </c>
      <c r="N12" s="389"/>
      <c r="O12" s="2503"/>
      <c r="P12" s="130">
        <f t="shared" si="0"/>
        <v>7</v>
      </c>
      <c r="Q12" s="130"/>
      <c r="R12" s="130"/>
      <c r="S12" s="645"/>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BK12" s="643"/>
      <c r="BL12" s="643"/>
      <c r="BM12" s="643"/>
      <c r="BN12" s="643"/>
      <c r="DI12" s="105"/>
      <c r="DJ12" s="105"/>
      <c r="DK12" s="105"/>
      <c r="DL12" s="105"/>
      <c r="DM12" s="105"/>
    </row>
    <row r="13" spans="1:117" s="187" customFormat="1" ht="15" x14ac:dyDescent="0.2">
      <c r="A13" s="2503"/>
      <c r="B13" s="188"/>
      <c r="C13" s="988" t="s">
        <v>1014</v>
      </c>
      <c r="D13" s="189"/>
      <c r="E13" s="189"/>
      <c r="F13" s="449" t="s">
        <v>960</v>
      </c>
      <c r="G13" s="3840">
        <v>0.27</v>
      </c>
      <c r="H13" s="3841">
        <v>0.31</v>
      </c>
      <c r="I13" s="3841">
        <v>0.35</v>
      </c>
      <c r="J13" s="3842">
        <v>0.35</v>
      </c>
      <c r="K13" s="3842">
        <v>0.41</v>
      </c>
      <c r="L13" s="3842"/>
      <c r="M13" s="387">
        <f>Stammdaten!$P$7*100</f>
        <v>9.5</v>
      </c>
      <c r="N13" s="2507">
        <f t="shared" ref="N13:N29" si="1">HLOOKUP($N$6,$G$6:$L$90,INDEX($P$6:$P$90,P13))+HLOOKUP($N$6,$G$6:$L$90,INDEX($P$6:$P$90,P13))*M13/100</f>
        <v>0.44894999999999996</v>
      </c>
      <c r="O13" s="2503"/>
      <c r="P13" s="130">
        <f t="shared" si="0"/>
        <v>8</v>
      </c>
      <c r="Q13" s="130" t="s">
        <v>1521</v>
      </c>
      <c r="R13" s="130"/>
      <c r="U13" s="552" t="s">
        <v>1233</v>
      </c>
      <c r="W13"/>
      <c r="BK13" s="644"/>
      <c r="BL13" s="644"/>
      <c r="BM13" s="644"/>
      <c r="BN13" s="644"/>
      <c r="DI13" s="2174"/>
      <c r="DJ13" s="2174"/>
      <c r="DK13" s="2174"/>
      <c r="DL13" s="2174"/>
      <c r="DM13" s="2174"/>
    </row>
    <row r="14" spans="1:117" s="187" customFormat="1" ht="15" x14ac:dyDescent="0.2">
      <c r="A14" s="2503"/>
      <c r="B14" s="188"/>
      <c r="C14" s="1486" t="s">
        <v>1487</v>
      </c>
      <c r="D14" s="189"/>
      <c r="E14" s="189"/>
      <c r="F14" s="487"/>
      <c r="G14" s="457"/>
      <c r="H14" s="2848"/>
      <c r="I14" s="2848"/>
      <c r="J14" s="458"/>
      <c r="K14" s="458"/>
      <c r="L14" s="459"/>
      <c r="M14" s="394"/>
      <c r="N14" s="2507">
        <f t="shared" si="1"/>
        <v>0</v>
      </c>
      <c r="O14" s="2503"/>
      <c r="P14" s="130">
        <f t="shared" si="0"/>
        <v>9</v>
      </c>
      <c r="Q14" s="187" t="s">
        <v>1440</v>
      </c>
      <c r="R14" s="130"/>
      <c r="W14"/>
      <c r="BK14" s="644"/>
      <c r="BL14" s="644"/>
      <c r="BM14" s="644"/>
      <c r="BN14" s="644"/>
      <c r="DI14" s="2174"/>
      <c r="DJ14" s="2174"/>
      <c r="DK14" s="2174"/>
      <c r="DL14" s="2174"/>
      <c r="DM14" s="2174"/>
    </row>
    <row r="15" spans="1:117" s="187" customFormat="1" ht="3.75" customHeight="1" x14ac:dyDescent="0.2">
      <c r="A15" s="2503"/>
      <c r="B15" s="188"/>
      <c r="C15" s="189"/>
      <c r="D15" s="189"/>
      <c r="E15" s="189"/>
      <c r="F15" s="487"/>
      <c r="G15" s="457"/>
      <c r="H15" s="2848"/>
      <c r="I15" s="2848"/>
      <c r="J15" s="458"/>
      <c r="K15" s="458"/>
      <c r="L15" s="458"/>
      <c r="M15" s="394"/>
      <c r="N15" s="2507">
        <f t="shared" si="1"/>
        <v>0</v>
      </c>
      <c r="O15" s="2503"/>
      <c r="P15" s="130">
        <f t="shared" si="0"/>
        <v>10</v>
      </c>
      <c r="R15" s="130"/>
      <c r="W15"/>
      <c r="BK15" s="644"/>
      <c r="BL15" s="644"/>
      <c r="BM15" s="644"/>
      <c r="BN15" s="644"/>
      <c r="DI15" s="2174"/>
      <c r="DJ15" s="2174"/>
      <c r="DK15" s="2174"/>
      <c r="DL15" s="2174"/>
      <c r="DM15" s="2174"/>
    </row>
    <row r="16" spans="1:117" s="187" customFormat="1" ht="16.5" customHeight="1" x14ac:dyDescent="0.2">
      <c r="A16" s="2503"/>
      <c r="B16" s="188"/>
      <c r="C16" s="189" t="s">
        <v>1015</v>
      </c>
      <c r="D16" s="189"/>
      <c r="E16" s="189"/>
      <c r="F16" s="487"/>
      <c r="G16" s="457"/>
      <c r="H16" s="2848"/>
      <c r="I16" s="2848"/>
      <c r="J16" s="458"/>
      <c r="K16" s="458"/>
      <c r="L16" s="458"/>
      <c r="M16" s="394"/>
      <c r="N16" s="2507">
        <f t="shared" si="1"/>
        <v>0</v>
      </c>
      <c r="O16" s="2503"/>
      <c r="P16" s="130">
        <f t="shared" si="0"/>
        <v>11</v>
      </c>
      <c r="R16" s="130"/>
      <c r="W16"/>
      <c r="BK16" s="644"/>
      <c r="BL16" s="644"/>
      <c r="BM16" s="644"/>
      <c r="BN16" s="644"/>
      <c r="DI16" s="2174"/>
      <c r="DJ16" s="2174"/>
      <c r="DK16" s="2174"/>
      <c r="DL16" s="2174"/>
      <c r="DM16" s="2174"/>
    </row>
    <row r="17" spans="1:118" s="187" customFormat="1" ht="12.75" customHeight="1" x14ac:dyDescent="0.2">
      <c r="A17" s="2503"/>
      <c r="B17" s="188"/>
      <c r="C17" s="189" t="s">
        <v>1016</v>
      </c>
      <c r="D17" s="189"/>
      <c r="E17" s="189"/>
      <c r="F17" s="487"/>
      <c r="G17" s="457"/>
      <c r="H17" s="2848"/>
      <c r="I17" s="2848"/>
      <c r="J17" s="458"/>
      <c r="K17" s="458"/>
      <c r="L17" s="458"/>
      <c r="M17" s="394"/>
      <c r="N17" s="2507">
        <f t="shared" si="1"/>
        <v>0</v>
      </c>
      <c r="O17" s="2503"/>
      <c r="P17" s="130">
        <f t="shared" si="0"/>
        <v>12</v>
      </c>
      <c r="R17" s="130"/>
      <c r="AJ17" s="187" t="s">
        <v>429</v>
      </c>
      <c r="AQ17" s="187" t="s">
        <v>582</v>
      </c>
      <c r="BK17" s="644"/>
      <c r="BL17" s="644"/>
      <c r="BM17" s="644"/>
      <c r="BN17" s="644"/>
      <c r="DI17" s="2174"/>
      <c r="DJ17" s="2174"/>
      <c r="DK17" s="2174"/>
      <c r="DL17" s="2174"/>
      <c r="DM17" s="2174"/>
    </row>
    <row r="18" spans="1:118" s="187" customFormat="1" ht="3.75" customHeight="1" x14ac:dyDescent="0.2">
      <c r="A18" s="2503"/>
      <c r="B18" s="188"/>
      <c r="C18" s="189"/>
      <c r="D18" s="189"/>
      <c r="E18" s="189"/>
      <c r="F18" s="487"/>
      <c r="G18" s="457"/>
      <c r="H18" s="2848"/>
      <c r="I18" s="2848"/>
      <c r="J18" s="458"/>
      <c r="K18" s="458"/>
      <c r="L18" s="458"/>
      <c r="M18" s="394"/>
      <c r="N18" s="2507">
        <f t="shared" si="1"/>
        <v>0</v>
      </c>
      <c r="O18" s="2503"/>
      <c r="P18" s="130">
        <f t="shared" si="0"/>
        <v>13</v>
      </c>
      <c r="R18" s="130"/>
      <c r="BK18" s="644"/>
      <c r="BL18" s="644"/>
      <c r="BM18" s="644"/>
      <c r="BN18" s="644"/>
      <c r="DI18" s="2174"/>
      <c r="DJ18" s="2174"/>
      <c r="DK18" s="2174"/>
      <c r="DL18" s="2174"/>
      <c r="DM18" s="2174"/>
    </row>
    <row r="19" spans="1:118" s="187" customFormat="1" ht="19.5" customHeight="1" x14ac:dyDescent="0.2">
      <c r="A19" s="2503"/>
      <c r="B19" s="188"/>
      <c r="C19" s="189" t="s">
        <v>1488</v>
      </c>
      <c r="D19"/>
      <c r="E19" s="189"/>
      <c r="F19" s="449" t="s">
        <v>960</v>
      </c>
      <c r="G19" s="1503">
        <v>5.0000000000000001E-3</v>
      </c>
      <c r="H19" s="2849">
        <v>5.0000000000000001E-3</v>
      </c>
      <c r="I19" s="2849">
        <v>5.0000000000000001E-3</v>
      </c>
      <c r="J19" s="637">
        <v>5.0000000000000001E-3</v>
      </c>
      <c r="K19" s="637">
        <v>5.0000000000000001E-3</v>
      </c>
      <c r="L19" s="637"/>
      <c r="M19" s="387">
        <f>Stammdaten!$P$7*100</f>
        <v>9.5</v>
      </c>
      <c r="N19" s="2507">
        <f t="shared" si="1"/>
        <v>5.4749999999999998E-3</v>
      </c>
      <c r="O19" s="2503"/>
      <c r="P19" s="130">
        <f t="shared" si="0"/>
        <v>14</v>
      </c>
      <c r="R19" s="130"/>
      <c r="AM19" s="187">
        <f>2.7/100*11</f>
        <v>0.29700000000000004</v>
      </c>
      <c r="AO19" s="187">
        <f>4.1/100*5</f>
        <v>0.20499999999999996</v>
      </c>
      <c r="AQ19" s="187">
        <f>AM19+AO19</f>
        <v>0.502</v>
      </c>
      <c r="AR19" s="187" t="s">
        <v>430</v>
      </c>
      <c r="AS19" s="187">
        <f>AQ19/100</f>
        <v>5.0200000000000002E-3</v>
      </c>
      <c r="BK19" s="644"/>
      <c r="BL19" s="644"/>
      <c r="BM19" s="644"/>
      <c r="BN19" s="644"/>
      <c r="DI19" s="2174"/>
      <c r="DJ19" s="2174"/>
      <c r="DK19" s="2174"/>
      <c r="DL19" s="2174"/>
      <c r="DM19" s="2174"/>
    </row>
    <row r="20" spans="1:118" s="187" customFormat="1" ht="19.5" customHeight="1" x14ac:dyDescent="0.2">
      <c r="A20" s="2503"/>
      <c r="B20" s="188"/>
      <c r="C20" s="189" t="s">
        <v>1489</v>
      </c>
      <c r="D20"/>
      <c r="E20" s="189"/>
      <c r="F20" s="487"/>
      <c r="G20" s="1503">
        <v>1E-3</v>
      </c>
      <c r="H20" s="2849">
        <v>1E-3</v>
      </c>
      <c r="I20" s="2849">
        <v>1E-3</v>
      </c>
      <c r="J20" s="637">
        <v>1E-3</v>
      </c>
      <c r="K20" s="637">
        <v>1E-3</v>
      </c>
      <c r="L20" s="637"/>
      <c r="M20" s="387">
        <f>Stammdaten!$P$7*100</f>
        <v>9.5</v>
      </c>
      <c r="N20" s="2507">
        <f t="shared" si="1"/>
        <v>1.0950000000000001E-3</v>
      </c>
      <c r="O20" s="2503"/>
      <c r="P20" s="130">
        <f t="shared" si="0"/>
        <v>15</v>
      </c>
      <c r="R20" s="130"/>
      <c r="AM20" s="187">
        <f>2.7/100*7</f>
        <v>0.18900000000000003</v>
      </c>
      <c r="AO20" s="187">
        <f>-4.1/100*7</f>
        <v>-0.28699999999999998</v>
      </c>
      <c r="AQ20" s="187">
        <f>AM20+AO20</f>
        <v>-9.7999999999999948E-2</v>
      </c>
      <c r="AS20" s="187">
        <f>AQ20/100</f>
        <v>-9.7999999999999953E-4</v>
      </c>
      <c r="BK20" s="644"/>
      <c r="BL20" s="644"/>
      <c r="BM20" s="644"/>
      <c r="BN20" s="644"/>
      <c r="DI20" s="2174"/>
      <c r="DJ20" s="2174"/>
      <c r="DK20" s="2174"/>
      <c r="DL20" s="2174"/>
      <c r="DM20" s="2174"/>
    </row>
    <row r="21" spans="1:118" s="187" customFormat="1" ht="15" x14ac:dyDescent="0.2">
      <c r="A21" s="2503"/>
      <c r="B21" s="188"/>
      <c r="C21" s="189" t="s">
        <v>1490</v>
      </c>
      <c r="D21"/>
      <c r="E21" s="189"/>
      <c r="F21" s="487"/>
      <c r="G21" s="1503">
        <v>1.2E-2</v>
      </c>
      <c r="H21" s="2849">
        <v>1.2E-2</v>
      </c>
      <c r="I21" s="2849">
        <v>1.2E-2</v>
      </c>
      <c r="J21" s="637">
        <v>1.2E-2</v>
      </c>
      <c r="K21" s="637">
        <v>1.2E-2</v>
      </c>
      <c r="L21" s="637"/>
      <c r="M21" s="387">
        <f>Stammdaten!$P$7*100</f>
        <v>9.5</v>
      </c>
      <c r="N21" s="2507">
        <f t="shared" si="1"/>
        <v>1.3140000000000001E-2</v>
      </c>
      <c r="O21" s="2503"/>
      <c r="P21" s="130">
        <f t="shared" si="0"/>
        <v>16</v>
      </c>
      <c r="R21" s="130"/>
      <c r="AM21" s="187">
        <f>2.7/100*23</f>
        <v>0.62100000000000011</v>
      </c>
      <c r="AO21" s="187">
        <f>4.1/100*13</f>
        <v>0.53299999999999992</v>
      </c>
      <c r="AQ21" s="187">
        <f>AM21+AO21</f>
        <v>1.1539999999999999</v>
      </c>
      <c r="AS21" s="187">
        <f>AQ21/100</f>
        <v>1.154E-2</v>
      </c>
      <c r="BK21" s="644"/>
      <c r="BL21" s="644"/>
      <c r="BM21" s="644"/>
      <c r="BN21" s="644" t="s">
        <v>352</v>
      </c>
      <c r="BU21" s="187" t="s">
        <v>355</v>
      </c>
      <c r="DI21" s="2174"/>
      <c r="DJ21" s="2174"/>
      <c r="DK21" s="2174"/>
      <c r="DL21" s="2174"/>
      <c r="DM21" s="2174"/>
    </row>
    <row r="22" spans="1:118" s="187" customFormat="1" ht="15" hidden="1" x14ac:dyDescent="0.2">
      <c r="A22" s="2503"/>
      <c r="B22" s="188"/>
      <c r="C22" s="189"/>
      <c r="D22" s="189"/>
      <c r="E22" s="189"/>
      <c r="F22" s="487"/>
      <c r="G22" s="457"/>
      <c r="H22" s="2848"/>
      <c r="I22" s="2848"/>
      <c r="J22" s="637"/>
      <c r="K22" s="637"/>
      <c r="L22" s="458"/>
      <c r="M22" s="394"/>
      <c r="N22" s="390">
        <f t="shared" si="1"/>
        <v>0</v>
      </c>
      <c r="O22" s="2503"/>
      <c r="P22" s="130">
        <f t="shared" si="0"/>
        <v>17</v>
      </c>
      <c r="R22" s="130"/>
      <c r="AO22" s="187">
        <f>-4.1/100*3</f>
        <v>-0.12299999999999998</v>
      </c>
      <c r="BK22" s="644"/>
      <c r="BL22" s="644"/>
      <c r="BM22" s="644"/>
      <c r="BN22" s="644"/>
      <c r="DI22" s="2174"/>
      <c r="DJ22" s="2174"/>
      <c r="DK22" s="2174"/>
      <c r="DL22" s="2174"/>
      <c r="DM22" s="2174"/>
    </row>
    <row r="23" spans="1:118" s="187" customFormat="1" ht="15" hidden="1" x14ac:dyDescent="0.2">
      <c r="A23" s="2503"/>
      <c r="B23" s="188"/>
      <c r="C23" s="189"/>
      <c r="D23" s="189"/>
      <c r="E23" s="189"/>
      <c r="F23" s="487"/>
      <c r="G23" s="457"/>
      <c r="H23" s="2848"/>
      <c r="I23" s="2848"/>
      <c r="J23" s="637"/>
      <c r="K23" s="637"/>
      <c r="L23" s="458"/>
      <c r="M23" s="394"/>
      <c r="N23" s="390">
        <f t="shared" si="1"/>
        <v>0</v>
      </c>
      <c r="O23" s="2503"/>
      <c r="P23" s="130">
        <f t="shared" si="0"/>
        <v>18</v>
      </c>
      <c r="R23" s="130"/>
      <c r="AO23" s="187">
        <f>-4.1/100*3</f>
        <v>-0.12299999999999998</v>
      </c>
      <c r="BK23" s="644"/>
      <c r="BL23" s="644"/>
      <c r="BM23" s="644"/>
      <c r="BN23" s="644"/>
      <c r="DI23" s="2174"/>
      <c r="DJ23" s="2174"/>
      <c r="DK23" s="2174"/>
      <c r="DL23" s="2174"/>
      <c r="DM23" s="2174"/>
    </row>
    <row r="24" spans="1:118" s="187" customFormat="1" ht="12.2" customHeight="1" x14ac:dyDescent="0.2">
      <c r="A24" s="2503"/>
      <c r="B24" s="188"/>
      <c r="C24" s="189"/>
      <c r="D24" s="189"/>
      <c r="E24" s="189"/>
      <c r="F24" s="487"/>
      <c r="G24" s="457"/>
      <c r="H24" s="2848"/>
      <c r="I24" s="2848"/>
      <c r="J24" s="458"/>
      <c r="K24" s="458"/>
      <c r="L24" s="458"/>
      <c r="M24" s="394"/>
      <c r="N24" s="390">
        <f t="shared" si="1"/>
        <v>0</v>
      </c>
      <c r="O24" s="2503"/>
      <c r="P24" s="130">
        <f t="shared" si="0"/>
        <v>19</v>
      </c>
      <c r="R24" s="130"/>
      <c r="AP24" s="552"/>
      <c r="BK24" s="644"/>
      <c r="BL24" s="644"/>
      <c r="BM24" s="644"/>
      <c r="BN24" s="644"/>
      <c r="DI24" s="2174"/>
      <c r="DJ24" s="2174" t="s">
        <v>1242</v>
      </c>
      <c r="DK24" s="2174" t="s">
        <v>1238</v>
      </c>
      <c r="DM24" s="2174" t="s">
        <v>1239</v>
      </c>
    </row>
    <row r="25" spans="1:118" s="187" customFormat="1" ht="19.5" customHeight="1" x14ac:dyDescent="0.2">
      <c r="A25" s="2503"/>
      <c r="B25" s="188"/>
      <c r="C25" s="189" t="s">
        <v>504</v>
      </c>
      <c r="D25" s="189"/>
      <c r="E25" s="189"/>
      <c r="F25" s="449" t="s">
        <v>1028</v>
      </c>
      <c r="G25" s="460">
        <v>1450</v>
      </c>
      <c r="H25" s="2850">
        <v>1450</v>
      </c>
      <c r="I25" s="2850">
        <v>1500</v>
      </c>
      <c r="J25" s="274">
        <v>1800</v>
      </c>
      <c r="K25" s="274">
        <v>1800</v>
      </c>
      <c r="L25" s="274"/>
      <c r="M25" s="387">
        <f>Stammdaten!$P$7*100</f>
        <v>9.5</v>
      </c>
      <c r="N25" s="392">
        <f t="shared" si="1"/>
        <v>1971</v>
      </c>
      <c r="O25" s="2503"/>
      <c r="P25" s="130">
        <f t="shared" si="0"/>
        <v>20</v>
      </c>
      <c r="Q25" s="187" t="s">
        <v>1524</v>
      </c>
      <c r="R25" s="130"/>
      <c r="AE25" s="552" t="s">
        <v>1267</v>
      </c>
      <c r="AJ25" s="552" t="s">
        <v>1029</v>
      </c>
      <c r="AP25" s="552"/>
      <c r="BK25" s="644"/>
      <c r="BL25" s="644"/>
      <c r="BM25" s="644" t="s">
        <v>351</v>
      </c>
      <c r="BN25" s="644">
        <v>90</v>
      </c>
      <c r="BO25" s="187">
        <v>115</v>
      </c>
      <c r="BP25" s="187">
        <v>115</v>
      </c>
      <c r="BQ25" s="187">
        <v>126</v>
      </c>
      <c r="BR25" s="187">
        <f>AVERAGE(BN25:BQ25)</f>
        <v>111.5</v>
      </c>
      <c r="BT25" s="187">
        <v>40</v>
      </c>
      <c r="BU25" s="187">
        <v>67</v>
      </c>
      <c r="BV25" s="187">
        <v>59</v>
      </c>
      <c r="BW25" s="187">
        <v>72</v>
      </c>
      <c r="BX25" s="187">
        <f>AVERAGE(BT25:BW25)</f>
        <v>59.5</v>
      </c>
      <c r="DI25" s="2174"/>
      <c r="DJ25" s="2174" t="s">
        <v>75</v>
      </c>
      <c r="DK25" s="2174">
        <v>2018</v>
      </c>
      <c r="DL25" s="2749">
        <f>(DK25-$DK$29)/$DK$29</f>
        <v>0.19815941813863738</v>
      </c>
      <c r="DM25" s="2174">
        <v>2458</v>
      </c>
      <c r="DN25" s="2749">
        <f>(DM25-$DM$29)/$DM$29</f>
        <v>0.23533107174268125</v>
      </c>
    </row>
    <row r="26" spans="1:118" s="187" customFormat="1" ht="12.2" customHeight="1" x14ac:dyDescent="0.2">
      <c r="A26" s="2503"/>
      <c r="B26" s="188"/>
      <c r="C26" s="189"/>
      <c r="D26" s="189"/>
      <c r="E26" s="189"/>
      <c r="F26" s="449"/>
      <c r="G26" s="457"/>
      <c r="H26" s="2850"/>
      <c r="I26" s="2850"/>
      <c r="J26" s="458"/>
      <c r="K26" s="458"/>
      <c r="L26" s="458"/>
      <c r="M26" s="387"/>
      <c r="N26" s="392">
        <f t="shared" si="1"/>
        <v>0</v>
      </c>
      <c r="O26" s="2503"/>
      <c r="P26" s="130">
        <f t="shared" si="0"/>
        <v>21</v>
      </c>
      <c r="R26" s="130"/>
      <c r="BK26" s="644"/>
      <c r="BL26" s="644"/>
      <c r="BN26" s="644"/>
      <c r="BT26" s="187" t="s">
        <v>358</v>
      </c>
      <c r="CB26" s="665"/>
      <c r="CC26" s="666"/>
      <c r="CD26" s="666"/>
      <c r="CE26" s="666"/>
      <c r="CF26" s="666"/>
      <c r="CG26" s="666"/>
      <c r="CH26" s="666"/>
      <c r="CI26" s="666"/>
      <c r="CJ26" s="667"/>
      <c r="CK26" s="665"/>
      <c r="CL26" s="666"/>
      <c r="CM26" s="666"/>
      <c r="CN26" s="666"/>
      <c r="CO26" s="666"/>
      <c r="CP26" s="666"/>
      <c r="CQ26" s="666"/>
      <c r="CR26" s="666"/>
      <c r="CS26" s="667"/>
      <c r="DI26" s="2174"/>
      <c r="DJ26" s="2174" t="s">
        <v>1235</v>
      </c>
      <c r="DK26" s="2174">
        <v>1671</v>
      </c>
      <c r="DL26" s="2749">
        <f>(DK26-$DK$29)/$DK$29</f>
        <v>-7.8670031171144423E-3</v>
      </c>
      <c r="DM26" s="2174">
        <v>1942</v>
      </c>
      <c r="DN26" s="2749">
        <f>(DM26-$DM$29)/$DM$29</f>
        <v>-2.399798969719814E-2</v>
      </c>
    </row>
    <row r="27" spans="1:118" s="187" customFormat="1" ht="19.5" customHeight="1" x14ac:dyDescent="0.2">
      <c r="A27" s="2503"/>
      <c r="B27" s="188"/>
      <c r="C27" s="189" t="s">
        <v>1030</v>
      </c>
      <c r="D27" s="189"/>
      <c r="E27" s="152" t="s">
        <v>1031</v>
      </c>
      <c r="F27" s="449" t="s">
        <v>1032</v>
      </c>
      <c r="G27" s="461">
        <v>3</v>
      </c>
      <c r="H27" s="2851">
        <v>3.1</v>
      </c>
      <c r="I27" s="2851">
        <v>3.17</v>
      </c>
      <c r="J27" s="360">
        <v>3.7</v>
      </c>
      <c r="K27" s="360">
        <v>4.7</v>
      </c>
      <c r="L27" s="360"/>
      <c r="M27" s="387">
        <f>Stammdaten!$P$7*100</f>
        <v>9.5</v>
      </c>
      <c r="N27" s="393">
        <f t="shared" si="1"/>
        <v>5.1465000000000005</v>
      </c>
      <c r="O27" s="2503"/>
      <c r="P27" s="130">
        <f t="shared" si="0"/>
        <v>22</v>
      </c>
      <c r="Q27" s="187" t="s">
        <v>1523</v>
      </c>
      <c r="R27" s="130"/>
      <c r="AE27" s="552" t="s">
        <v>1186</v>
      </c>
      <c r="BH27" s="1998"/>
      <c r="BK27" s="644"/>
      <c r="BL27" s="644"/>
      <c r="BM27" s="644"/>
      <c r="BN27" s="644"/>
      <c r="CB27" s="680" t="s">
        <v>210</v>
      </c>
      <c r="CC27" s="666"/>
      <c r="CD27" s="667"/>
      <c r="CE27" s="679" t="s">
        <v>210</v>
      </c>
      <c r="CF27" s="666"/>
      <c r="CG27" s="666"/>
      <c r="CH27" s="680" t="s">
        <v>210</v>
      </c>
      <c r="CI27" s="666"/>
      <c r="CJ27" s="667"/>
      <c r="CK27" s="680" t="s">
        <v>210</v>
      </c>
      <c r="CL27" s="666"/>
      <c r="CM27" s="666"/>
      <c r="CN27" s="680" t="s">
        <v>210</v>
      </c>
      <c r="CO27" s="666"/>
      <c r="CP27" s="666"/>
      <c r="CQ27" s="680" t="s">
        <v>210</v>
      </c>
      <c r="CR27" s="666"/>
      <c r="CS27" s="667"/>
      <c r="DI27" s="2174"/>
      <c r="DJ27" s="2174" t="s">
        <v>1236</v>
      </c>
      <c r="DK27" s="2174">
        <v>1579</v>
      </c>
      <c r="DL27" s="2749">
        <f>(DK27-$DK$29)/$DK$29</f>
        <v>-6.2490722873682646E-2</v>
      </c>
      <c r="DM27" s="2174">
        <v>1633</v>
      </c>
      <c r="DN27" s="2749">
        <f>(DM27-$DM$29)/$DM$29</f>
        <v>-0.17929388114084685</v>
      </c>
    </row>
    <row r="28" spans="1:118" s="187" customFormat="1" ht="19.899999999999999" customHeight="1" x14ac:dyDescent="0.2">
      <c r="A28" s="2503"/>
      <c r="B28" s="188"/>
      <c r="C28" s="189" t="s">
        <v>1040</v>
      </c>
      <c r="D28" s="189"/>
      <c r="E28" s="152" t="s">
        <v>1041</v>
      </c>
      <c r="F28" s="449"/>
      <c r="G28" s="461">
        <v>2.5</v>
      </c>
      <c r="H28" s="2851">
        <v>2.5499999999999998</v>
      </c>
      <c r="I28" s="2851">
        <v>2.5</v>
      </c>
      <c r="J28" s="360">
        <v>3.17</v>
      </c>
      <c r="K28" s="360">
        <v>4.4000000000000004</v>
      </c>
      <c r="L28" s="360"/>
      <c r="M28" s="387">
        <f>Stammdaten!$P$7*100</f>
        <v>9.5</v>
      </c>
      <c r="N28" s="393">
        <f t="shared" si="1"/>
        <v>4.8180000000000005</v>
      </c>
      <c r="O28" s="2503"/>
      <c r="P28" s="130">
        <f t="shared" si="0"/>
        <v>23</v>
      </c>
      <c r="Q28" s="187" t="s">
        <v>1523</v>
      </c>
      <c r="R28" s="130"/>
      <c r="Z28" s="187">
        <v>56492</v>
      </c>
      <c r="AA28" s="187">
        <v>3.35</v>
      </c>
      <c r="AB28" s="187">
        <f>Z28*AA28</f>
        <v>189248.2</v>
      </c>
      <c r="AE28" s="552" t="s">
        <v>1189</v>
      </c>
      <c r="BK28" s="644"/>
      <c r="BL28" s="644"/>
      <c r="BM28" s="644" t="s">
        <v>353</v>
      </c>
      <c r="BN28" s="644">
        <v>3.72</v>
      </c>
      <c r="BO28" s="187">
        <v>4.75</v>
      </c>
      <c r="BP28" s="187">
        <v>4.4000000000000004</v>
      </c>
      <c r="BQ28" s="187">
        <v>4.92</v>
      </c>
      <c r="BR28" s="187">
        <f>AVERAGE(BN28:BQ28)</f>
        <v>4.4474999999999998</v>
      </c>
      <c r="BT28" s="187">
        <v>2.2599999999999998</v>
      </c>
      <c r="BU28" s="187">
        <v>2.91</v>
      </c>
      <c r="BV28" s="187">
        <v>2.97</v>
      </c>
      <c r="BW28" s="187">
        <v>3.56</v>
      </c>
      <c r="BX28" s="187">
        <f>AVERAGE(BT28:BW28)</f>
        <v>2.9250000000000003</v>
      </c>
      <c r="CA28" s="664">
        <v>37205</v>
      </c>
      <c r="CB28" s="668"/>
      <c r="CC28" s="669" t="s">
        <v>915</v>
      </c>
      <c r="CD28" s="670"/>
      <c r="CE28" s="669"/>
      <c r="CF28" s="669" t="s">
        <v>209</v>
      </c>
      <c r="CG28" s="669"/>
      <c r="CH28" s="668"/>
      <c r="CI28" s="669" t="s">
        <v>927</v>
      </c>
      <c r="CJ28" s="669"/>
      <c r="CK28" s="668"/>
      <c r="CL28" s="669" t="s">
        <v>915</v>
      </c>
      <c r="CM28" s="669"/>
      <c r="CN28" s="668"/>
      <c r="CO28" s="669" t="s">
        <v>209</v>
      </c>
      <c r="CP28" s="669"/>
      <c r="CQ28" s="668"/>
      <c r="CR28" s="669" t="s">
        <v>927</v>
      </c>
      <c r="CS28" s="667"/>
      <c r="CX28" s="2174">
        <v>31833561</v>
      </c>
      <c r="CY28" s="2174">
        <v>1.81</v>
      </c>
      <c r="CZ28" s="2174">
        <f>CX28*CY28</f>
        <v>57618745.410000004</v>
      </c>
      <c r="DA28" s="2174"/>
      <c r="DB28" s="2174"/>
      <c r="DI28" s="2174"/>
      <c r="DJ28" s="2174" t="s">
        <v>1237</v>
      </c>
      <c r="DK28" s="2174">
        <v>1469</v>
      </c>
      <c r="DL28" s="2749">
        <f>(DK28-$DK$29)/$DK$29</f>
        <v>-0.12780169214784029</v>
      </c>
      <c r="DM28" s="2174">
        <v>1926</v>
      </c>
      <c r="DN28" s="2749">
        <f>(DM28-$DM$29)/$DM$29</f>
        <v>-3.2039200904636259E-2</v>
      </c>
    </row>
    <row r="29" spans="1:118" s="187" customFormat="1" ht="19.5" customHeight="1" x14ac:dyDescent="0.2">
      <c r="A29" s="2503"/>
      <c r="B29" s="188"/>
      <c r="C29" s="189" t="s">
        <v>1043</v>
      </c>
      <c r="D29" s="189"/>
      <c r="E29" s="152" t="s">
        <v>1044</v>
      </c>
      <c r="F29" s="449"/>
      <c r="G29" s="461">
        <v>2.85</v>
      </c>
      <c r="H29" s="2851">
        <v>2.9</v>
      </c>
      <c r="I29" s="2851">
        <v>2.9</v>
      </c>
      <c r="J29" s="360">
        <v>3.57</v>
      </c>
      <c r="K29" s="360">
        <v>4.5999999999999996</v>
      </c>
      <c r="L29" s="360"/>
      <c r="M29" s="387">
        <f>Stammdaten!$P$7*100</f>
        <v>9.5</v>
      </c>
      <c r="N29" s="393">
        <f t="shared" si="1"/>
        <v>5.0369999999999999</v>
      </c>
      <c r="O29" s="2503"/>
      <c r="P29" s="130">
        <f t="shared" si="0"/>
        <v>24</v>
      </c>
      <c r="Q29" s="187" t="s">
        <v>1523</v>
      </c>
      <c r="R29" s="130"/>
      <c r="Z29" s="187">
        <v>97773</v>
      </c>
      <c r="AA29" s="187">
        <v>3.13</v>
      </c>
      <c r="AB29" s="187">
        <f>Z29*AA29</f>
        <v>306029.49</v>
      </c>
      <c r="AE29" s="552" t="s">
        <v>1190</v>
      </c>
      <c r="BK29" s="644"/>
      <c r="BL29" s="644"/>
      <c r="BM29" s="644" t="s">
        <v>354</v>
      </c>
      <c r="BN29" s="644">
        <v>1.59</v>
      </c>
      <c r="BO29" s="187">
        <v>2.64</v>
      </c>
      <c r="BP29" s="187">
        <v>2.2400000000000002</v>
      </c>
      <c r="BQ29" s="187">
        <v>2.62</v>
      </c>
      <c r="BR29" s="187">
        <f>AVERAGE(BN29:BQ29)</f>
        <v>2.2725</v>
      </c>
      <c r="BS29" s="187">
        <f>BR29/BR28</f>
        <v>0.51096121416526141</v>
      </c>
      <c r="BT29" s="187">
        <v>1.1100000000000001</v>
      </c>
      <c r="BU29" s="187">
        <v>1.66</v>
      </c>
      <c r="BV29" s="187">
        <v>1.67</v>
      </c>
      <c r="BW29" s="187">
        <v>2.02</v>
      </c>
      <c r="BX29" s="187">
        <f>AVERAGE(BT29:BW29)</f>
        <v>1.6149999999999998</v>
      </c>
      <c r="BY29" s="187">
        <f>BX29/BX28</f>
        <v>0.55213675213675206</v>
      </c>
      <c r="CB29" s="671"/>
      <c r="CC29" s="666"/>
      <c r="CD29" s="667"/>
      <c r="CE29" s="187">
        <v>2</v>
      </c>
      <c r="CF29" s="187">
        <v>2100</v>
      </c>
      <c r="CG29" s="187">
        <f>CE29*CF29</f>
        <v>4200</v>
      </c>
      <c r="CH29" s="665">
        <v>1</v>
      </c>
      <c r="CI29" s="666">
        <v>1650</v>
      </c>
      <c r="CJ29" s="666">
        <f>CH29*CI29</f>
        <v>1650</v>
      </c>
      <c r="CK29" s="671"/>
      <c r="CL29" s="673"/>
      <c r="CM29" s="674"/>
      <c r="CN29" s="666">
        <v>31</v>
      </c>
      <c r="CO29" s="666">
        <v>2687</v>
      </c>
      <c r="CP29" s="666">
        <f>CN29*CO29</f>
        <v>83297</v>
      </c>
      <c r="CQ29" s="665">
        <v>47</v>
      </c>
      <c r="CR29" s="666">
        <v>2105</v>
      </c>
      <c r="CS29" s="667">
        <f>CQ29*CR29</f>
        <v>98935</v>
      </c>
      <c r="CX29" s="2174">
        <v>23717029</v>
      </c>
      <c r="CY29" s="2174">
        <v>2.09</v>
      </c>
      <c r="CZ29" s="2174">
        <f>CX29*CY29</f>
        <v>49568590.609999999</v>
      </c>
      <c r="DA29" s="2174"/>
      <c r="DB29" s="2174"/>
      <c r="DI29" s="187" t="s">
        <v>1240</v>
      </c>
      <c r="DK29" s="2174">
        <f>AVERAGE(DK25:DK28)</f>
        <v>1684.25</v>
      </c>
      <c r="DL29" s="2174"/>
      <c r="DM29" s="2174">
        <f>AVERAGE(DM25:DM28)</f>
        <v>1989.75</v>
      </c>
    </row>
    <row r="30" spans="1:118" s="187" customFormat="1" ht="8.85" customHeight="1" x14ac:dyDescent="0.2">
      <c r="A30" s="2503"/>
      <c r="B30" s="188"/>
      <c r="C30" s="189"/>
      <c r="D30" s="189"/>
      <c r="E30" s="152"/>
      <c r="F30" s="449"/>
      <c r="G30" s="461"/>
      <c r="H30" s="2851"/>
      <c r="I30" s="2851"/>
      <c r="J30" s="3795"/>
      <c r="K30" s="3795"/>
      <c r="L30" s="360"/>
      <c r="M30" s="387"/>
      <c r="N30" s="393"/>
      <c r="O30" s="2503"/>
      <c r="P30" s="130">
        <f t="shared" si="0"/>
        <v>25</v>
      </c>
      <c r="R30" s="130"/>
      <c r="AE30" s="552"/>
      <c r="BK30" s="644"/>
      <c r="BL30" s="644"/>
      <c r="BM30" s="644"/>
      <c r="BN30" s="644"/>
      <c r="CB30" s="665"/>
      <c r="CC30" s="666"/>
      <c r="CD30" s="667"/>
      <c r="CH30" s="665"/>
      <c r="CI30" s="666"/>
      <c r="CJ30" s="666"/>
      <c r="CK30" s="665"/>
      <c r="CL30" s="666"/>
      <c r="CM30" s="667"/>
      <c r="CN30" s="666"/>
      <c r="CO30" s="666"/>
      <c r="CP30" s="666"/>
      <c r="CQ30" s="665"/>
      <c r="CR30" s="666"/>
      <c r="CS30" s="667"/>
      <c r="CX30" s="2174"/>
      <c r="CY30" s="2174"/>
      <c r="CZ30" s="2174"/>
      <c r="DA30" s="2174"/>
      <c r="DB30" s="2174"/>
      <c r="DI30" s="2174"/>
      <c r="DJ30" s="2174"/>
      <c r="DK30" s="2174"/>
      <c r="DL30" s="2174"/>
      <c r="DM30" s="2174"/>
    </row>
    <row r="31" spans="1:118" s="187" customFormat="1" ht="22.7" customHeight="1" x14ac:dyDescent="0.2">
      <c r="A31" s="2503"/>
      <c r="B31" s="188"/>
      <c r="C31" s="189" t="s">
        <v>512</v>
      </c>
      <c r="D31" s="189"/>
      <c r="E31" s="687"/>
      <c r="F31" s="449"/>
      <c r="G31" s="218">
        <v>240</v>
      </c>
      <c r="H31" s="2505">
        <v>240</v>
      </c>
      <c r="I31" s="2505">
        <v>240</v>
      </c>
      <c r="J31" s="400">
        <v>240</v>
      </c>
      <c r="K31" s="400">
        <v>240</v>
      </c>
      <c r="L31" s="400"/>
      <c r="M31" s="387">
        <f>Stammdaten!$P$7*100</f>
        <v>9.5</v>
      </c>
      <c r="N31" s="399">
        <f>HLOOKUP($N$6,$G$6:$L$90,INDEX($P$6:$P$90,P31))+HLOOKUP($N$6,$G$6:$L$90,INDEX($P$6:$P$90,P31))*M31/100</f>
        <v>262.8</v>
      </c>
      <c r="O31" s="2503"/>
      <c r="P31" s="130">
        <f t="shared" si="0"/>
        <v>26</v>
      </c>
      <c r="R31" s="130"/>
      <c r="T31" s="187" t="s">
        <v>1243</v>
      </c>
      <c r="Z31" s="187">
        <f>Z28+Z29</f>
        <v>154265</v>
      </c>
      <c r="AB31" s="187">
        <f>AB28+AB29</f>
        <v>495277.69</v>
      </c>
      <c r="AE31" s="187" t="s">
        <v>363</v>
      </c>
      <c r="BL31" s="644"/>
      <c r="BM31" s="644"/>
      <c r="BN31" s="644"/>
      <c r="CA31" s="664">
        <v>37219</v>
      </c>
      <c r="CB31" s="665"/>
      <c r="CC31" s="666"/>
      <c r="CD31" s="667"/>
      <c r="CH31" s="665">
        <v>7</v>
      </c>
      <c r="CI31" s="666">
        <v>1429</v>
      </c>
      <c r="CJ31" s="666">
        <f t="shared" ref="CJ31:CJ36" si="2">CH31*CI31</f>
        <v>10003</v>
      </c>
      <c r="CK31" s="665"/>
      <c r="CL31" s="666"/>
      <c r="CM31" s="667"/>
      <c r="CN31" s="666"/>
      <c r="CO31" s="666"/>
      <c r="CP31" s="666">
        <f t="shared" ref="CP31:CP36" si="3">CN31*CO31</f>
        <v>0</v>
      </c>
      <c r="CQ31" s="665">
        <v>125</v>
      </c>
      <c r="CR31" s="666">
        <v>2357</v>
      </c>
      <c r="CS31" s="667">
        <f t="shared" ref="CS31:CS36" si="4">CQ31*CR31</f>
        <v>294625</v>
      </c>
      <c r="CX31" s="2174">
        <f>SUM(CX28:CX29)</f>
        <v>55550590</v>
      </c>
      <c r="CY31" s="2174"/>
      <c r="CZ31" s="2174">
        <f>SUM(CZ28:CZ29)</f>
        <v>107187336.02000001</v>
      </c>
      <c r="DA31" s="2174"/>
      <c r="DB31" s="2174"/>
      <c r="DI31" s="2183" t="s">
        <v>1241</v>
      </c>
      <c r="DK31" s="2183">
        <v>1609</v>
      </c>
      <c r="DL31" s="2183"/>
      <c r="DM31" s="2174">
        <v>1926</v>
      </c>
    </row>
    <row r="32" spans="1:118" s="187" customFormat="1" ht="3.2" hidden="1" customHeight="1" x14ac:dyDescent="0.2">
      <c r="A32" s="2503"/>
      <c r="B32" s="188"/>
      <c r="H32" s="2852"/>
      <c r="I32" s="2852"/>
      <c r="O32" s="2503"/>
      <c r="P32" s="130">
        <f t="shared" si="0"/>
        <v>27</v>
      </c>
      <c r="R32" s="130"/>
      <c r="AP32" s="815"/>
      <c r="AT32" s="552"/>
      <c r="AY32" s="814"/>
      <c r="BK32" s="644"/>
      <c r="BL32" s="644"/>
      <c r="BM32" s="644"/>
      <c r="BN32" s="644"/>
      <c r="CB32" s="665">
        <v>4</v>
      </c>
      <c r="CC32" s="666">
        <v>1813</v>
      </c>
      <c r="CD32" s="667">
        <f>CB32*CC32</f>
        <v>7252</v>
      </c>
      <c r="CH32" s="665"/>
      <c r="CI32" s="666"/>
      <c r="CJ32" s="666">
        <f t="shared" si="2"/>
        <v>0</v>
      </c>
      <c r="CK32" s="665"/>
      <c r="CL32" s="666"/>
      <c r="CM32" s="667"/>
      <c r="CN32" s="666"/>
      <c r="CO32" s="666"/>
      <c r="CP32" s="666">
        <f t="shared" si="3"/>
        <v>0</v>
      </c>
      <c r="CQ32" s="665">
        <v>36</v>
      </c>
      <c r="CR32" s="666">
        <v>2154</v>
      </c>
      <c r="CS32" s="667">
        <f t="shared" si="4"/>
        <v>77544</v>
      </c>
      <c r="CX32" s="2174"/>
      <c r="CY32" s="2174">
        <f>CZ31/CX31</f>
        <v>1.9295445110483977</v>
      </c>
      <c r="CZ32" s="2174"/>
      <c r="DA32" s="2174"/>
      <c r="DB32" s="2174"/>
      <c r="DI32" s="2183" t="s">
        <v>225</v>
      </c>
      <c r="DJ32" s="2183" t="s">
        <v>226</v>
      </c>
      <c r="DK32" s="2183" t="s">
        <v>227</v>
      </c>
      <c r="DL32" s="2183" t="s">
        <v>224</v>
      </c>
      <c r="DM32" s="2174"/>
    </row>
    <row r="33" spans="1:117" s="187" customFormat="1" ht="19.149999999999999" customHeight="1" x14ac:dyDescent="0.2">
      <c r="A33" s="2503"/>
      <c r="B33" s="188"/>
      <c r="C33" s="189" t="s">
        <v>751</v>
      </c>
      <c r="D33" s="189"/>
      <c r="E33" s="687" t="s">
        <v>505</v>
      </c>
      <c r="F33" s="449" t="s">
        <v>1028</v>
      </c>
      <c r="G33" s="218">
        <v>280</v>
      </c>
      <c r="H33" s="2505">
        <v>280</v>
      </c>
      <c r="I33" s="2505">
        <v>280</v>
      </c>
      <c r="J33" s="400">
        <v>270</v>
      </c>
      <c r="K33" s="400">
        <v>270</v>
      </c>
      <c r="L33" s="400"/>
      <c r="M33" s="387">
        <f>Stammdaten!$P$7*100</f>
        <v>9.5</v>
      </c>
      <c r="N33" s="399">
        <f t="shared" ref="N33:N81" si="5">HLOOKUP($N$6,$G$6:$L$90,INDEX($P$6:$P$90,P33))+HLOOKUP($N$6,$G$6:$L$90,INDEX($P$6:$P$90,P33))*M33/100</f>
        <v>295.64999999999998</v>
      </c>
      <c r="O33" s="2503"/>
      <c r="P33" s="130">
        <f t="shared" si="0"/>
        <v>28</v>
      </c>
      <c r="Q33" s="187" t="s">
        <v>1525</v>
      </c>
      <c r="R33" s="130"/>
      <c r="T33" s="187" t="s">
        <v>1271</v>
      </c>
      <c r="U33" s="187" t="s">
        <v>1269</v>
      </c>
      <c r="W33" s="187" t="s">
        <v>1266</v>
      </c>
      <c r="AE33" s="552" t="s">
        <v>365</v>
      </c>
      <c r="AP33" s="164" t="s">
        <v>1209</v>
      </c>
      <c r="AV33" s="738"/>
      <c r="BK33" s="644"/>
      <c r="BL33" s="644"/>
      <c r="BM33" s="644" t="s">
        <v>356</v>
      </c>
      <c r="BN33" s="644"/>
      <c r="BT33" s="187" t="s">
        <v>357</v>
      </c>
      <c r="CA33" s="664">
        <v>37149</v>
      </c>
      <c r="CB33" s="665">
        <v>9</v>
      </c>
      <c r="CC33" s="666">
        <v>1993</v>
      </c>
      <c r="CD33" s="667">
        <f>CB33*CC33</f>
        <v>17937</v>
      </c>
      <c r="CG33" s="187">
        <f>CE33*CF33</f>
        <v>0</v>
      </c>
      <c r="CH33" s="665"/>
      <c r="CI33" s="666"/>
      <c r="CJ33" s="666">
        <f t="shared" si="2"/>
        <v>0</v>
      </c>
      <c r="CK33" s="665"/>
      <c r="CL33" s="666"/>
      <c r="CM33" s="667"/>
      <c r="CN33" s="666"/>
      <c r="CO33" s="666"/>
      <c r="CP33" s="666">
        <f t="shared" si="3"/>
        <v>0</v>
      </c>
      <c r="CQ33" s="665"/>
      <c r="CR33" s="666"/>
      <c r="CS33" s="667">
        <f t="shared" si="4"/>
        <v>0</v>
      </c>
      <c r="CX33" s="2174"/>
      <c r="CY33" s="2174"/>
      <c r="CZ33" s="2174"/>
      <c r="DA33" s="2174"/>
      <c r="DB33" s="2174"/>
      <c r="DI33" s="2183"/>
      <c r="DJ33" s="2183"/>
      <c r="DK33" s="2183"/>
      <c r="DL33" s="2183"/>
      <c r="DM33" s="2174"/>
    </row>
    <row r="34" spans="1:117" s="187" customFormat="1" ht="19.149999999999999" customHeight="1" x14ac:dyDescent="0.2">
      <c r="A34" s="2503"/>
      <c r="B34" s="188"/>
      <c r="C34" s="189" t="s">
        <v>751</v>
      </c>
      <c r="D34" s="189"/>
      <c r="E34" s="687" t="s">
        <v>506</v>
      </c>
      <c r="F34" s="486"/>
      <c r="G34" s="218">
        <v>150</v>
      </c>
      <c r="H34" s="2505">
        <v>150</v>
      </c>
      <c r="I34" s="2505">
        <v>150</v>
      </c>
      <c r="J34" s="400">
        <v>150</v>
      </c>
      <c r="K34" s="400">
        <v>150</v>
      </c>
      <c r="L34" s="400"/>
      <c r="M34" s="387">
        <f>Stammdaten!$P$7*100</f>
        <v>9.5</v>
      </c>
      <c r="N34" s="399">
        <f t="shared" si="5"/>
        <v>164.25</v>
      </c>
      <c r="O34" s="2503"/>
      <c r="P34" s="130">
        <f t="shared" si="0"/>
        <v>29</v>
      </c>
      <c r="R34" s="130"/>
      <c r="U34" s="187" t="s">
        <v>1270</v>
      </c>
      <c r="W34" s="187" t="s">
        <v>1266</v>
      </c>
      <c r="AE34" s="552" t="s">
        <v>350</v>
      </c>
      <c r="AP34" s="815"/>
      <c r="AY34" s="814"/>
      <c r="BA34" s="187">
        <f>SUM(BA28:BA33)</f>
        <v>0</v>
      </c>
      <c r="BK34" s="644"/>
      <c r="BL34" s="644"/>
      <c r="BM34" s="644"/>
      <c r="BN34" s="644"/>
      <c r="BT34" s="187" t="s">
        <v>364</v>
      </c>
      <c r="BX34" s="1998">
        <v>0.71</v>
      </c>
      <c r="CB34" s="665"/>
      <c r="CC34" s="666"/>
      <c r="CD34" s="667">
        <f>CB34*CC34</f>
        <v>0</v>
      </c>
      <c r="CG34" s="187">
        <f>CE34*CF34</f>
        <v>0</v>
      </c>
      <c r="CH34" s="665"/>
      <c r="CI34" s="666"/>
      <c r="CJ34" s="666">
        <f t="shared" si="2"/>
        <v>0</v>
      </c>
      <c r="CK34" s="665"/>
      <c r="CL34" s="666"/>
      <c r="CM34" s="667"/>
      <c r="CN34" s="666"/>
      <c r="CO34" s="666"/>
      <c r="CP34" s="666">
        <f t="shared" si="3"/>
        <v>0</v>
      </c>
      <c r="CQ34" s="665"/>
      <c r="CR34" s="666"/>
      <c r="CS34" s="667">
        <f t="shared" si="4"/>
        <v>0</v>
      </c>
      <c r="CX34" s="2174">
        <v>4.2699999999999996</v>
      </c>
      <c r="CY34" s="2174">
        <v>3.08</v>
      </c>
      <c r="CZ34" s="2174"/>
      <c r="DA34" s="2174"/>
      <c r="DI34" s="2183">
        <v>2.38</v>
      </c>
      <c r="DJ34" s="2183">
        <v>135</v>
      </c>
      <c r="DK34" s="2183">
        <v>1.95</v>
      </c>
      <c r="DL34" s="2183">
        <v>72</v>
      </c>
      <c r="DM34" s="2174"/>
    </row>
    <row r="35" spans="1:117" s="187" customFormat="1" ht="19.149999999999999" customHeight="1" x14ac:dyDescent="0.2">
      <c r="A35" s="2503"/>
      <c r="B35" s="188"/>
      <c r="C35" s="189" t="s">
        <v>751</v>
      </c>
      <c r="D35" s="189"/>
      <c r="E35" s="687" t="s">
        <v>858</v>
      </c>
      <c r="F35" s="486"/>
      <c r="G35" s="2505">
        <f t="shared" ref="G35:L35" si="6">G33*$U$37+G$31*$V$37+G34*$W$37</f>
        <v>251</v>
      </c>
      <c r="H35" s="2505">
        <f t="shared" si="6"/>
        <v>251</v>
      </c>
      <c r="I35" s="2505">
        <f t="shared" si="6"/>
        <v>251</v>
      </c>
      <c r="J35" s="2505">
        <f t="shared" si="6"/>
        <v>246</v>
      </c>
      <c r="K35" s="2505">
        <f t="shared" si="6"/>
        <v>246</v>
      </c>
      <c r="L35" s="2505">
        <f t="shared" si="6"/>
        <v>0</v>
      </c>
      <c r="M35" s="387">
        <f>Stammdaten!$P$7*100</f>
        <v>9.5</v>
      </c>
      <c r="N35" s="399">
        <f t="shared" si="5"/>
        <v>269.37</v>
      </c>
      <c r="O35" s="2503"/>
      <c r="P35" s="130">
        <f t="shared" si="0"/>
        <v>30</v>
      </c>
      <c r="R35" s="130"/>
      <c r="U35" s="187" t="s">
        <v>764</v>
      </c>
      <c r="AE35" s="187" t="s">
        <v>362</v>
      </c>
      <c r="AO35" s="552"/>
      <c r="BK35" s="644"/>
      <c r="BL35" s="644"/>
      <c r="BM35" s="644"/>
      <c r="BN35" s="644"/>
      <c r="CA35" s="664">
        <v>37058</v>
      </c>
      <c r="CB35" s="665"/>
      <c r="CC35" s="666"/>
      <c r="CD35" s="667">
        <f>CB35*CC35</f>
        <v>0</v>
      </c>
      <c r="CG35" s="187">
        <f>CE35*CF35</f>
        <v>0</v>
      </c>
      <c r="CH35" s="665"/>
      <c r="CI35" s="666"/>
      <c r="CJ35" s="666">
        <f t="shared" si="2"/>
        <v>0</v>
      </c>
      <c r="CK35" s="665">
        <v>15</v>
      </c>
      <c r="CL35" s="666">
        <v>2473</v>
      </c>
      <c r="CM35" s="667">
        <f>CK35*CL35</f>
        <v>37095</v>
      </c>
      <c r="CN35" s="666"/>
      <c r="CO35" s="666"/>
      <c r="CP35" s="666">
        <f t="shared" si="3"/>
        <v>0</v>
      </c>
      <c r="CQ35" s="665">
        <v>112</v>
      </c>
      <c r="CR35" s="666">
        <v>2321</v>
      </c>
      <c r="CS35" s="667">
        <f t="shared" si="4"/>
        <v>259952</v>
      </c>
      <c r="CX35" s="2174">
        <v>4.29</v>
      </c>
      <c r="CY35" s="2174">
        <v>3.07</v>
      </c>
      <c r="CZ35" s="2174"/>
      <c r="DA35" s="2174"/>
      <c r="DI35" s="2183">
        <v>2.19</v>
      </c>
      <c r="DJ35" s="2183">
        <v>133</v>
      </c>
      <c r="DK35" s="2183">
        <v>1.75</v>
      </c>
      <c r="DL35" s="2183">
        <v>61</v>
      </c>
      <c r="DM35" s="2174"/>
    </row>
    <row r="36" spans="1:117" s="187" customFormat="1" ht="10.5" customHeight="1" x14ac:dyDescent="0.2">
      <c r="A36" s="2503"/>
      <c r="B36" s="213"/>
      <c r="C36" s="189"/>
      <c r="D36" s="189"/>
      <c r="E36" s="189"/>
      <c r="F36" s="449"/>
      <c r="G36" s="461"/>
      <c r="H36" s="2851"/>
      <c r="I36" s="2851"/>
      <c r="J36" s="461"/>
      <c r="K36" s="461"/>
      <c r="L36" s="461"/>
      <c r="M36" s="387"/>
      <c r="N36" s="399">
        <f t="shared" si="5"/>
        <v>0</v>
      </c>
      <c r="O36" s="2503"/>
      <c r="P36" s="130">
        <f t="shared" si="0"/>
        <v>31</v>
      </c>
      <c r="R36" s="130"/>
      <c r="U36" s="817" t="s">
        <v>505</v>
      </c>
      <c r="V36" s="819" t="s">
        <v>509</v>
      </c>
      <c r="W36" s="816" t="s">
        <v>510</v>
      </c>
      <c r="AO36" s="552"/>
      <c r="BK36" s="644"/>
      <c r="BL36" s="644"/>
      <c r="BM36" s="644"/>
      <c r="BN36" s="644"/>
      <c r="CB36" s="665"/>
      <c r="CD36" s="667">
        <f>CB36*CC36</f>
        <v>0</v>
      </c>
      <c r="CG36" s="187">
        <f>CE36*CF36</f>
        <v>0</v>
      </c>
      <c r="CH36" s="665">
        <v>3</v>
      </c>
      <c r="CI36" s="187">
        <v>1650</v>
      </c>
      <c r="CJ36" s="666">
        <f t="shared" si="2"/>
        <v>4950</v>
      </c>
      <c r="CK36" s="665">
        <v>7</v>
      </c>
      <c r="CL36" s="666">
        <v>2329</v>
      </c>
      <c r="CM36" s="667">
        <f>CK36*CL36</f>
        <v>16303</v>
      </c>
      <c r="CP36" s="666">
        <f t="shared" si="3"/>
        <v>0</v>
      </c>
      <c r="CQ36" s="665"/>
      <c r="CS36" s="667">
        <f t="shared" si="4"/>
        <v>0</v>
      </c>
      <c r="CX36" s="2174">
        <v>4.21</v>
      </c>
      <c r="CY36" s="2174">
        <v>3.01</v>
      </c>
      <c r="CZ36" s="2174"/>
      <c r="DA36" s="2174"/>
      <c r="DI36" s="2183">
        <v>2.1</v>
      </c>
      <c r="DJ36" s="2183">
        <v>112</v>
      </c>
      <c r="DK36" s="2183">
        <v>1.5</v>
      </c>
      <c r="DL36" s="2183">
        <v>79</v>
      </c>
      <c r="DM36" s="2174"/>
    </row>
    <row r="37" spans="1:117" s="187" customFormat="1" ht="19.149999999999999" customHeight="1" x14ac:dyDescent="0.2">
      <c r="A37" s="2503"/>
      <c r="B37" s="213"/>
      <c r="C37" s="189" t="s">
        <v>761</v>
      </c>
      <c r="D37" s="189"/>
      <c r="E37" s="687" t="s">
        <v>505</v>
      </c>
      <c r="F37" s="449"/>
      <c r="G37" s="218">
        <v>70</v>
      </c>
      <c r="H37" s="2505">
        <v>70</v>
      </c>
      <c r="I37" s="2505">
        <v>80</v>
      </c>
      <c r="J37" s="400">
        <v>50</v>
      </c>
      <c r="K37" s="400">
        <v>50</v>
      </c>
      <c r="L37" s="400"/>
      <c r="M37" s="387">
        <f>Stammdaten!$P$7*100</f>
        <v>9.5</v>
      </c>
      <c r="N37" s="399">
        <f t="shared" si="5"/>
        <v>54.75</v>
      </c>
      <c r="O37" s="2503"/>
      <c r="P37" s="130">
        <f t="shared" si="0"/>
        <v>32</v>
      </c>
      <c r="Q37" s="187" t="s">
        <v>1525</v>
      </c>
      <c r="R37" s="130"/>
      <c r="U37" s="818">
        <v>0.5</v>
      </c>
      <c r="V37" s="820">
        <v>0.4</v>
      </c>
      <c r="W37" s="821">
        <v>0.1</v>
      </c>
      <c r="AE37" s="552" t="s">
        <v>349</v>
      </c>
      <c r="AO37" s="552"/>
      <c r="AP37" s="552"/>
      <c r="AT37" s="164"/>
      <c r="BK37" s="644"/>
      <c r="BL37" s="644"/>
      <c r="BM37" s="644"/>
      <c r="BN37" s="644"/>
      <c r="CB37" s="665"/>
      <c r="CD37" s="667"/>
      <c r="CH37" s="665"/>
      <c r="CJ37" s="666"/>
      <c r="CK37" s="665"/>
      <c r="CL37" s="666"/>
      <c r="CM37" s="667"/>
      <c r="CP37" s="666"/>
      <c r="CQ37" s="665"/>
      <c r="CS37" s="667"/>
      <c r="CX37" s="2174">
        <v>4.22</v>
      </c>
      <c r="CY37" s="2174">
        <v>2.93</v>
      </c>
      <c r="CZ37" s="2174"/>
      <c r="DA37" s="2174"/>
      <c r="DI37" s="2183">
        <v>2.81</v>
      </c>
      <c r="DJ37" s="2183">
        <v>179</v>
      </c>
      <c r="DK37" s="2183">
        <v>2.0499999999999998</v>
      </c>
      <c r="DL37" s="2183">
        <v>48</v>
      </c>
      <c r="DM37" s="2174"/>
    </row>
    <row r="38" spans="1:117" s="187" customFormat="1" ht="19.149999999999999" customHeight="1" x14ac:dyDescent="0.2">
      <c r="A38" s="2503"/>
      <c r="B38" s="213"/>
      <c r="C38" s="189" t="s">
        <v>761</v>
      </c>
      <c r="D38" s="189"/>
      <c r="E38" s="687" t="s">
        <v>506</v>
      </c>
      <c r="F38" s="449"/>
      <c r="G38" s="218">
        <v>25</v>
      </c>
      <c r="H38" s="2505">
        <v>25</v>
      </c>
      <c r="I38" s="2505">
        <v>25</v>
      </c>
      <c r="J38" s="400">
        <v>25</v>
      </c>
      <c r="K38" s="400">
        <v>25</v>
      </c>
      <c r="L38" s="400"/>
      <c r="M38" s="387">
        <f>Stammdaten!$P$7*100</f>
        <v>9.5</v>
      </c>
      <c r="N38" s="399">
        <f t="shared" si="5"/>
        <v>27.375</v>
      </c>
      <c r="O38" s="2503"/>
      <c r="P38" s="130">
        <f t="shared" si="0"/>
        <v>33</v>
      </c>
      <c r="R38" s="130"/>
      <c r="AE38" s="552" t="s">
        <v>359</v>
      </c>
      <c r="AI38" s="187" t="s">
        <v>1210</v>
      </c>
      <c r="AO38" s="552"/>
      <c r="AP38" s="552"/>
      <c r="BK38" s="644"/>
      <c r="BL38" s="644"/>
      <c r="BM38" s="644"/>
      <c r="BN38" s="644"/>
      <c r="CB38" s="665"/>
      <c r="CD38" s="667"/>
      <c r="CH38" s="665"/>
      <c r="CJ38" s="666"/>
      <c r="CK38" s="665"/>
      <c r="CL38" s="666"/>
      <c r="CM38" s="667"/>
      <c r="CP38" s="666"/>
      <c r="CQ38" s="665"/>
      <c r="CS38" s="667"/>
      <c r="CX38" s="2174">
        <v>4.18</v>
      </c>
      <c r="CY38" s="2174">
        <v>2.63</v>
      </c>
      <c r="CZ38" s="2174"/>
      <c r="DA38" s="2174"/>
      <c r="DI38" s="2183">
        <v>2.54</v>
      </c>
      <c r="DJ38" s="2183">
        <v>174</v>
      </c>
      <c r="DK38" s="2183">
        <v>1.73</v>
      </c>
      <c r="DL38" s="2183">
        <v>76</v>
      </c>
      <c r="DM38" s="2174"/>
    </row>
    <row r="39" spans="1:117" s="187" customFormat="1" ht="19.149999999999999" customHeight="1" x14ac:dyDescent="0.2">
      <c r="A39" s="2503"/>
      <c r="B39" s="213"/>
      <c r="C39" s="189" t="s">
        <v>761</v>
      </c>
      <c r="D39" s="189"/>
      <c r="E39" s="687" t="s">
        <v>858</v>
      </c>
      <c r="F39" s="449"/>
      <c r="G39" s="218">
        <f t="shared" ref="G39:L39" si="7">G37*$U$37+G$31*$V$37+G38*$W$37</f>
        <v>133.5</v>
      </c>
      <c r="H39" s="2505">
        <f t="shared" si="7"/>
        <v>133.5</v>
      </c>
      <c r="I39" s="2505">
        <f t="shared" si="7"/>
        <v>138.5</v>
      </c>
      <c r="J39" s="2505">
        <f t="shared" si="7"/>
        <v>123.5</v>
      </c>
      <c r="K39" s="2505">
        <f t="shared" si="7"/>
        <v>123.5</v>
      </c>
      <c r="L39" s="2505">
        <f t="shared" si="7"/>
        <v>0</v>
      </c>
      <c r="M39" s="387">
        <f>Stammdaten!$P$7*100</f>
        <v>9.5</v>
      </c>
      <c r="N39" s="399">
        <f t="shared" si="5"/>
        <v>135.23249999999999</v>
      </c>
      <c r="O39" s="2503"/>
      <c r="P39" s="130">
        <f t="shared" si="0"/>
        <v>34</v>
      </c>
      <c r="R39" s="130"/>
      <c r="AE39" s="552"/>
      <c r="AO39" s="552"/>
      <c r="BK39" s="644"/>
      <c r="BL39" s="644"/>
      <c r="BM39" s="644"/>
      <c r="BN39" s="644"/>
      <c r="CB39" s="665"/>
      <c r="CD39" s="667"/>
      <c r="CH39" s="665"/>
      <c r="CJ39" s="666"/>
      <c r="CK39" s="665"/>
      <c r="CL39" s="666"/>
      <c r="CM39" s="667"/>
      <c r="CP39" s="666"/>
      <c r="CQ39" s="665"/>
      <c r="CS39" s="667"/>
      <c r="CX39" s="2174">
        <v>4.2</v>
      </c>
      <c r="CY39" s="2174">
        <v>2.76</v>
      </c>
      <c r="CZ39" s="2174"/>
      <c r="DA39" s="2174"/>
      <c r="DI39" s="2183">
        <v>2.54</v>
      </c>
      <c r="DJ39" s="2183">
        <v>169</v>
      </c>
      <c r="DK39" s="2183">
        <v>1.85</v>
      </c>
      <c r="DL39" s="2183">
        <v>51</v>
      </c>
      <c r="DM39" s="2174"/>
    </row>
    <row r="40" spans="1:117" s="187" customFormat="1" ht="7.5" customHeight="1" x14ac:dyDescent="0.2">
      <c r="A40" s="2503"/>
      <c r="B40" s="213"/>
      <c r="C40" s="189"/>
      <c r="D40" s="189"/>
      <c r="E40" s="189"/>
      <c r="F40" s="449"/>
      <c r="G40" s="461"/>
      <c r="H40" s="2851"/>
      <c r="I40" s="2851"/>
      <c r="J40" s="461"/>
      <c r="K40" s="461"/>
      <c r="L40" s="461"/>
      <c r="M40" s="387"/>
      <c r="N40" s="399">
        <f t="shared" si="5"/>
        <v>0</v>
      </c>
      <c r="O40" s="2503"/>
      <c r="P40" s="130">
        <f t="shared" si="0"/>
        <v>35</v>
      </c>
      <c r="R40" s="130"/>
      <c r="AE40" s="552"/>
      <c r="AO40" s="552"/>
      <c r="BK40" s="644"/>
      <c r="BL40" s="644"/>
      <c r="BM40" s="644"/>
      <c r="BN40" s="644"/>
      <c r="CB40" s="665"/>
      <c r="CD40" s="667"/>
      <c r="CH40" s="665"/>
      <c r="CJ40" s="666"/>
      <c r="CK40" s="665"/>
      <c r="CL40" s="666"/>
      <c r="CM40" s="667"/>
      <c r="CP40" s="666"/>
      <c r="CQ40" s="665"/>
      <c r="CS40" s="667"/>
      <c r="CX40" s="2174">
        <v>4.33</v>
      </c>
      <c r="CY40" s="2174">
        <v>2.85</v>
      </c>
      <c r="CZ40" s="2174"/>
      <c r="DA40" s="2174"/>
      <c r="DI40" s="2183">
        <v>2.2400000000000002</v>
      </c>
      <c r="DJ40" s="2183">
        <v>98</v>
      </c>
      <c r="DK40" s="2183">
        <v>1.37</v>
      </c>
      <c r="DL40" s="2183">
        <v>76</v>
      </c>
      <c r="DM40" s="2174"/>
    </row>
    <row r="41" spans="1:117" s="187" customFormat="1" ht="19.149999999999999" customHeight="1" x14ac:dyDescent="0.2">
      <c r="A41" s="2503"/>
      <c r="B41" s="213"/>
      <c r="C41" s="189" t="s">
        <v>763</v>
      </c>
      <c r="D41" s="189"/>
      <c r="E41" s="687" t="s">
        <v>505</v>
      </c>
      <c r="F41" s="449"/>
      <c r="G41" s="218">
        <v>110</v>
      </c>
      <c r="H41" s="2505">
        <v>110</v>
      </c>
      <c r="I41" s="2505">
        <v>120</v>
      </c>
      <c r="J41" s="400">
        <v>100</v>
      </c>
      <c r="K41" s="400">
        <v>100</v>
      </c>
      <c r="L41" s="400"/>
      <c r="M41" s="387">
        <f>Stammdaten!$P$7*100</f>
        <v>9.5</v>
      </c>
      <c r="N41" s="399">
        <f t="shared" si="5"/>
        <v>109.5</v>
      </c>
      <c r="O41" s="2503"/>
      <c r="P41" s="130">
        <f t="shared" si="0"/>
        <v>36</v>
      </c>
      <c r="Q41" s="187" t="s">
        <v>1525</v>
      </c>
      <c r="R41" s="130"/>
      <c r="T41" s="187" t="s">
        <v>630</v>
      </c>
      <c r="W41" s="187" t="s">
        <v>1268</v>
      </c>
      <c r="AE41" s="187" t="s">
        <v>360</v>
      </c>
      <c r="AJ41" s="187" t="s">
        <v>1211</v>
      </c>
      <c r="AO41" s="552"/>
      <c r="AY41" s="552"/>
      <c r="AZ41" s="552"/>
      <c r="BK41" s="644"/>
      <c r="BL41" s="644"/>
      <c r="BM41" s="644"/>
      <c r="BN41" s="644"/>
      <c r="CB41" s="665"/>
      <c r="CD41" s="667"/>
      <c r="CH41" s="665"/>
      <c r="CJ41" s="666"/>
      <c r="CK41" s="665"/>
      <c r="CL41" s="666"/>
      <c r="CM41" s="667"/>
      <c r="CP41" s="666"/>
      <c r="CQ41" s="665"/>
      <c r="CS41" s="667"/>
      <c r="CX41" s="2174">
        <f>AVERAGE(CX34:CX40)</f>
        <v>4.242857142857142</v>
      </c>
      <c r="CY41" s="2174">
        <f>AVERAGE(CY34:CY40)</f>
        <v>2.9042857142857139</v>
      </c>
      <c r="CZ41" s="2175">
        <f>CY41/CX41</f>
        <v>0.68451178451178452</v>
      </c>
      <c r="DA41" s="2174" t="s">
        <v>735</v>
      </c>
      <c r="DI41" s="2183">
        <v>2.5499999999999998</v>
      </c>
      <c r="DJ41" s="2183">
        <v>157</v>
      </c>
      <c r="DK41" s="2183">
        <v>1.83</v>
      </c>
      <c r="DL41" s="2183">
        <v>69</v>
      </c>
      <c r="DM41" s="2174"/>
    </row>
    <row r="42" spans="1:117" s="187" customFormat="1" ht="19.149999999999999" customHeight="1" x14ac:dyDescent="0.2">
      <c r="A42" s="2503"/>
      <c r="B42" s="213"/>
      <c r="C42" s="189" t="s">
        <v>763</v>
      </c>
      <c r="D42" s="189"/>
      <c r="E42" s="687" t="s">
        <v>506</v>
      </c>
      <c r="F42" s="449"/>
      <c r="G42" s="218">
        <v>65</v>
      </c>
      <c r="H42" s="2505">
        <v>65</v>
      </c>
      <c r="I42" s="2505">
        <v>65</v>
      </c>
      <c r="J42" s="400">
        <v>65</v>
      </c>
      <c r="K42" s="400">
        <v>65</v>
      </c>
      <c r="L42" s="400"/>
      <c r="M42" s="387">
        <f>Stammdaten!$P$7*100</f>
        <v>9.5</v>
      </c>
      <c r="N42" s="399">
        <f t="shared" si="5"/>
        <v>71.174999999999997</v>
      </c>
      <c r="O42" s="2503"/>
      <c r="P42" s="130">
        <f t="shared" si="0"/>
        <v>37</v>
      </c>
      <c r="R42" s="130"/>
      <c r="AE42" s="552" t="s">
        <v>361</v>
      </c>
      <c r="AO42" s="552"/>
      <c r="BK42" s="644"/>
      <c r="BL42" s="644"/>
      <c r="BM42" s="644"/>
      <c r="BN42" s="644"/>
      <c r="CB42" s="665"/>
      <c r="CD42" s="667"/>
      <c r="CH42" s="665"/>
      <c r="CJ42" s="666"/>
      <c r="CK42" s="665"/>
      <c r="CL42" s="666"/>
      <c r="CM42" s="667"/>
      <c r="CP42" s="666"/>
      <c r="CQ42" s="665"/>
      <c r="CS42" s="667"/>
      <c r="CX42" s="2174"/>
      <c r="CY42" s="2174"/>
      <c r="CZ42" s="2174"/>
      <c r="DA42" s="2174"/>
      <c r="DI42" s="2183">
        <v>2.23</v>
      </c>
      <c r="DJ42" s="2183">
        <v>124</v>
      </c>
      <c r="DK42" s="2183">
        <v>1.82</v>
      </c>
      <c r="DL42" s="2183"/>
      <c r="DM42" s="2174"/>
    </row>
    <row r="43" spans="1:117" s="187" customFormat="1" ht="19.149999999999999" customHeight="1" thickBot="1" x14ac:dyDescent="0.25">
      <c r="A43" s="2503"/>
      <c r="B43" s="213"/>
      <c r="C43" s="189" t="s">
        <v>763</v>
      </c>
      <c r="D43" s="189"/>
      <c r="E43" s="687" t="s">
        <v>858</v>
      </c>
      <c r="F43" s="449"/>
      <c r="G43" s="218">
        <f t="shared" ref="G43:L43" si="8">G41*$U$37+G$31*$V$37+G42*$W$37</f>
        <v>157.5</v>
      </c>
      <c r="H43" s="2505">
        <f t="shared" si="8"/>
        <v>157.5</v>
      </c>
      <c r="I43" s="2505">
        <f t="shared" si="8"/>
        <v>162.5</v>
      </c>
      <c r="J43" s="2505">
        <f t="shared" si="8"/>
        <v>152.5</v>
      </c>
      <c r="K43" s="2505">
        <f t="shared" si="8"/>
        <v>152.5</v>
      </c>
      <c r="L43" s="2505">
        <f t="shared" si="8"/>
        <v>0</v>
      </c>
      <c r="M43" s="387">
        <f>Stammdaten!$P$7*100</f>
        <v>9.5</v>
      </c>
      <c r="N43" s="399">
        <f t="shared" si="5"/>
        <v>166.98750000000001</v>
      </c>
      <c r="O43" s="2503"/>
      <c r="P43" s="130">
        <f t="shared" si="0"/>
        <v>38</v>
      </c>
      <c r="R43" s="130"/>
      <c r="AE43" s="552"/>
      <c r="AO43" s="552"/>
      <c r="BK43" s="644"/>
      <c r="BL43" s="644"/>
      <c r="BM43" s="644"/>
      <c r="BN43" s="644"/>
      <c r="CB43" s="665"/>
      <c r="CD43" s="667"/>
      <c r="CH43" s="665"/>
      <c r="CJ43" s="666"/>
      <c r="CK43" s="665"/>
      <c r="CL43" s="666"/>
      <c r="CM43" s="667"/>
      <c r="CP43" s="666"/>
      <c r="CQ43" s="665"/>
      <c r="CS43" s="667"/>
      <c r="CX43" s="2174"/>
      <c r="CY43" s="2174"/>
      <c r="CZ43" s="2174"/>
      <c r="DA43" s="2174"/>
      <c r="DI43" s="2184">
        <f>AVERAGE(DI34:DI42)</f>
        <v>2.3977777777777778</v>
      </c>
      <c r="DJ43" s="2185">
        <f>AVERAGE(DJ34:DJ42)</f>
        <v>142.33333333333334</v>
      </c>
      <c r="DK43" s="2185">
        <f>AVERAGE(DK34:DK42)</f>
        <v>1.7611111111111111</v>
      </c>
      <c r="DL43" s="2186">
        <f>AVERAGE(DL34:DL42)</f>
        <v>66.5</v>
      </c>
      <c r="DM43" s="2174"/>
    </row>
    <row r="44" spans="1:117" s="187" customFormat="1" ht="15.95" customHeight="1" thickBot="1" x14ac:dyDescent="0.25">
      <c r="A44" s="2503"/>
      <c r="B44" s="213"/>
      <c r="C44" s="189"/>
      <c r="D44" s="189"/>
      <c r="E44" s="189"/>
      <c r="F44" s="449"/>
      <c r="G44" s="461"/>
      <c r="H44" s="2851"/>
      <c r="I44" s="2851"/>
      <c r="J44" s="461"/>
      <c r="K44" s="461"/>
      <c r="L44" s="461"/>
      <c r="M44" s="387"/>
      <c r="N44" s="399">
        <f t="shared" si="5"/>
        <v>0</v>
      </c>
      <c r="O44" s="2503"/>
      <c r="P44" s="130">
        <f t="shared" si="0"/>
        <v>39</v>
      </c>
      <c r="R44" s="130"/>
      <c r="AE44" s="552"/>
      <c r="AO44" s="552"/>
      <c r="AQ44" s="644" t="s">
        <v>1547</v>
      </c>
      <c r="AR44" s="3872">
        <v>2021</v>
      </c>
      <c r="AS44" s="3873">
        <v>2022</v>
      </c>
      <c r="AU44" s="207"/>
      <c r="AV44" s="532"/>
      <c r="AW44" s="2176"/>
      <c r="AX44" s="532"/>
      <c r="AY44" s="2176"/>
      <c r="AZ44" s="2177"/>
      <c r="BA44" s="2177"/>
      <c r="BB44" s="2177"/>
      <c r="BC44" s="2177"/>
      <c r="BD44" s="2177"/>
      <c r="BK44" s="644"/>
      <c r="BL44" s="644"/>
      <c r="BM44" s="644"/>
      <c r="BN44" s="644"/>
      <c r="CB44" s="665"/>
      <c r="CD44" s="667"/>
      <c r="CH44" s="665"/>
      <c r="CJ44" s="666"/>
      <c r="CK44" s="665"/>
      <c r="CL44" s="666"/>
      <c r="CM44" s="667"/>
      <c r="CP44" s="666"/>
      <c r="CQ44" s="665"/>
      <c r="CS44" s="667"/>
      <c r="DI44" s="2174"/>
      <c r="DJ44" s="2174"/>
      <c r="DK44" s="2174"/>
      <c r="DL44" s="2174"/>
      <c r="DM44" s="2174"/>
    </row>
    <row r="45" spans="1:117" s="187" customFormat="1" ht="19.5" customHeight="1" x14ac:dyDescent="0.2">
      <c r="A45" s="2503"/>
      <c r="B45" s="188"/>
      <c r="C45" s="507">
        <v>1</v>
      </c>
      <c r="D45" s="189" t="s">
        <v>1045</v>
      </c>
      <c r="E45" s="189"/>
      <c r="F45" s="449" t="s">
        <v>1013</v>
      </c>
      <c r="G45" s="457">
        <v>29.3</v>
      </c>
      <c r="H45" s="2853">
        <v>26.5</v>
      </c>
      <c r="I45" s="2853">
        <v>22.78</v>
      </c>
      <c r="J45" s="260">
        <v>27.5</v>
      </c>
      <c r="K45" s="260">
        <v>35</v>
      </c>
      <c r="L45" s="260"/>
      <c r="M45" s="387">
        <f>Stammdaten!$P$9*100</f>
        <v>7.0000000000000009</v>
      </c>
      <c r="N45" s="390">
        <f t="shared" si="5"/>
        <v>37.450000000000003</v>
      </c>
      <c r="O45" s="2503"/>
      <c r="P45" s="130">
        <f t="shared" si="0"/>
        <v>40</v>
      </c>
      <c r="Q45" s="187" t="s">
        <v>1522</v>
      </c>
      <c r="R45" s="130"/>
      <c r="AE45" s="552" t="s">
        <v>1549</v>
      </c>
      <c r="AO45" s="552" t="s">
        <v>1232</v>
      </c>
      <c r="AQ45" s="3870" t="s">
        <v>1550</v>
      </c>
      <c r="AR45" s="3871">
        <v>265</v>
      </c>
      <c r="AS45" s="3871">
        <v>335</v>
      </c>
      <c r="AU45" s="415"/>
      <c r="AV45" s="422"/>
      <c r="AW45" s="2178">
        <v>2000</v>
      </c>
      <c r="AX45" s="422">
        <v>2001</v>
      </c>
      <c r="AY45" s="2178">
        <v>2002</v>
      </c>
      <c r="AZ45" s="2179">
        <v>2003</v>
      </c>
      <c r="BA45" s="2179">
        <v>2004</v>
      </c>
      <c r="BB45" s="2179">
        <v>2006</v>
      </c>
      <c r="BC45" s="2179">
        <v>2007</v>
      </c>
      <c r="BD45" s="2179">
        <v>2008</v>
      </c>
      <c r="BE45" s="187">
        <v>2013</v>
      </c>
      <c r="BK45" s="645" t="s">
        <v>200</v>
      </c>
      <c r="BL45" s="644"/>
      <c r="BM45" s="644"/>
      <c r="BN45" s="644"/>
      <c r="CA45" s="664">
        <v>36960</v>
      </c>
      <c r="CB45" s="665"/>
      <c r="CD45" s="667">
        <f>CB45*CC45</f>
        <v>0</v>
      </c>
      <c r="CG45" s="187">
        <f>CE45*CF45</f>
        <v>0</v>
      </c>
      <c r="CH45" s="665"/>
      <c r="CJ45" s="666">
        <f>CH45*CI45</f>
        <v>0</v>
      </c>
      <c r="CK45" s="665"/>
      <c r="CL45" s="666"/>
      <c r="CM45" s="667">
        <f>CK45*CL45</f>
        <v>0</v>
      </c>
      <c r="CN45" s="187">
        <v>38</v>
      </c>
      <c r="CO45" s="187">
        <v>2284</v>
      </c>
      <c r="CP45" s="666">
        <f>CN45*CO45</f>
        <v>86792</v>
      </c>
      <c r="CQ45" s="665"/>
      <c r="CS45" s="667">
        <f>CQ45*CR45</f>
        <v>0</v>
      </c>
      <c r="CX45" s="187" t="s">
        <v>223</v>
      </c>
      <c r="CY45" s="187" t="s">
        <v>222</v>
      </c>
      <c r="DI45" s="2174"/>
      <c r="DJ45" s="2174"/>
      <c r="DK45" s="2174"/>
      <c r="DL45" s="2174"/>
      <c r="DM45" s="2174"/>
    </row>
    <row r="46" spans="1:117" s="187" customFormat="1" ht="20.25" customHeight="1" thickBot="1" x14ac:dyDescent="0.25">
      <c r="A46" s="2503"/>
      <c r="B46" s="188"/>
      <c r="C46" s="507">
        <v>2</v>
      </c>
      <c r="D46" s="508" t="s">
        <v>1046</v>
      </c>
      <c r="E46" s="509"/>
      <c r="F46" s="449"/>
      <c r="G46" s="457">
        <v>26</v>
      </c>
      <c r="H46" s="2853">
        <v>23</v>
      </c>
      <c r="I46" s="2853">
        <v>23</v>
      </c>
      <c r="J46" s="260">
        <v>23</v>
      </c>
      <c r="K46" s="260">
        <v>27</v>
      </c>
      <c r="L46" s="260"/>
      <c r="M46" s="387">
        <f>Stammdaten!P7*100</f>
        <v>9.5</v>
      </c>
      <c r="N46" s="390">
        <f t="shared" si="5"/>
        <v>29.565000000000001</v>
      </c>
      <c r="O46" s="2503"/>
      <c r="P46" s="130">
        <f t="shared" si="0"/>
        <v>41</v>
      </c>
      <c r="Q46" s="187" t="s">
        <v>1554</v>
      </c>
      <c r="R46" s="130"/>
      <c r="AO46" s="552"/>
      <c r="AP46" s="682"/>
      <c r="AQ46" s="3870" t="s">
        <v>1551</v>
      </c>
      <c r="AR46" s="3870">
        <v>285</v>
      </c>
      <c r="AS46" s="3870">
        <v>365</v>
      </c>
      <c r="AU46" s="188"/>
      <c r="AV46" s="118" t="s">
        <v>184</v>
      </c>
      <c r="AW46" s="2180">
        <v>9.8000000000000007</v>
      </c>
      <c r="AX46" s="118">
        <v>10.4</v>
      </c>
      <c r="AY46" s="2180">
        <v>9.4</v>
      </c>
      <c r="AZ46" s="2181">
        <v>10.6</v>
      </c>
      <c r="BA46" s="2181">
        <v>8.24</v>
      </c>
      <c r="BB46" s="2181">
        <v>10.38</v>
      </c>
      <c r="BC46" s="2181">
        <v>16.45</v>
      </c>
      <c r="BD46" s="2181">
        <v>17.37</v>
      </c>
      <c r="BE46" s="187">
        <v>15</v>
      </c>
      <c r="BN46" s="644"/>
      <c r="CB46" s="665"/>
      <c r="CD46" s="667">
        <f>CB46*CC46</f>
        <v>0</v>
      </c>
      <c r="CG46" s="187">
        <f>CE46*CF46</f>
        <v>0</v>
      </c>
      <c r="CH46" s="665"/>
      <c r="CJ46" s="666">
        <f>CH46*CI46</f>
        <v>0</v>
      </c>
      <c r="CK46" s="665"/>
      <c r="CL46" s="666"/>
      <c r="CM46" s="667">
        <f>CK46*CL46</f>
        <v>0</v>
      </c>
      <c r="CP46" s="666">
        <f>CN46*CO46</f>
        <v>0</v>
      </c>
      <c r="CQ46" s="665"/>
      <c r="CS46" s="667">
        <f>CQ46*CR46</f>
        <v>0</v>
      </c>
      <c r="CX46" s="187">
        <v>25.82</v>
      </c>
      <c r="CY46" s="187">
        <v>12.65</v>
      </c>
      <c r="DA46" s="187">
        <v>50.4995306</v>
      </c>
      <c r="DB46" s="187">
        <v>10</v>
      </c>
      <c r="DD46" s="187">
        <f>DA46*DB46</f>
        <v>504.99530600000003</v>
      </c>
      <c r="DI46" s="2174"/>
      <c r="DJ46" s="2174"/>
      <c r="DK46" s="2174"/>
      <c r="DL46" s="2174"/>
      <c r="DM46" s="2174"/>
    </row>
    <row r="47" spans="1:117" s="187" customFormat="1" ht="20.25" customHeight="1" thickBot="1" x14ac:dyDescent="0.25">
      <c r="A47" s="2503"/>
      <c r="B47" s="188"/>
      <c r="C47" s="507">
        <v>3</v>
      </c>
      <c r="D47" s="189" t="s">
        <v>420</v>
      </c>
      <c r="E47" s="189"/>
      <c r="F47" s="486"/>
      <c r="G47" s="457">
        <f>18.2+2.5</f>
        <v>20.7</v>
      </c>
      <c r="H47" s="2853">
        <f>15.3+2.5</f>
        <v>17.8</v>
      </c>
      <c r="I47" s="2853">
        <f>15.3+2.5</f>
        <v>17.8</v>
      </c>
      <c r="J47" s="260">
        <f>17.44+2.5</f>
        <v>19.940000000000001</v>
      </c>
      <c r="K47" s="260">
        <v>24</v>
      </c>
      <c r="L47" s="260"/>
      <c r="M47" s="387">
        <f>Stammdaten!$P$9*100</f>
        <v>7.0000000000000009</v>
      </c>
      <c r="N47" s="390">
        <f t="shared" si="5"/>
        <v>25.68</v>
      </c>
      <c r="O47" s="2503"/>
      <c r="P47" s="130">
        <f t="shared" si="0"/>
        <v>42</v>
      </c>
      <c r="Q47" s="187" t="s">
        <v>1522</v>
      </c>
      <c r="R47" s="130"/>
      <c r="AE47" s="187" t="s">
        <v>783</v>
      </c>
      <c r="AQ47" s="3874" t="s">
        <v>1545</v>
      </c>
      <c r="AR47" s="3870">
        <f>AVERAGE(AR45:AR46)</f>
        <v>275</v>
      </c>
      <c r="AS47" s="3875">
        <f>AVERAGE(AS45:AS46)</f>
        <v>350</v>
      </c>
      <c r="AT47" s="3876"/>
      <c r="AU47" s="118"/>
      <c r="AV47" s="118" t="s">
        <v>185</v>
      </c>
      <c r="AW47" s="2180">
        <v>9.9</v>
      </c>
      <c r="AX47" s="118">
        <v>9.6999999999999993</v>
      </c>
      <c r="AY47" s="2180">
        <v>8.6999999999999993</v>
      </c>
      <c r="AZ47" s="2181">
        <v>9.8000000000000007</v>
      </c>
      <c r="BA47" s="2181">
        <v>10.62</v>
      </c>
      <c r="BB47" s="2181">
        <v>9.93</v>
      </c>
      <c r="BC47" s="2181">
        <v>16.11</v>
      </c>
      <c r="BD47" s="2181">
        <v>17.04</v>
      </c>
      <c r="BE47" s="187">
        <v>15</v>
      </c>
      <c r="BL47" s="187" t="s">
        <v>201</v>
      </c>
      <c r="BN47" s="644"/>
      <c r="BO47" s="187" t="s">
        <v>203</v>
      </c>
      <c r="CB47" s="665"/>
      <c r="CD47" s="667">
        <f>CB47*CC47</f>
        <v>0</v>
      </c>
      <c r="CG47" s="187">
        <f>CE47*CF47</f>
        <v>0</v>
      </c>
      <c r="CH47" s="665"/>
      <c r="CJ47" s="666">
        <f>CH47*CI47</f>
        <v>0</v>
      </c>
      <c r="CK47" s="665"/>
      <c r="CL47" s="666"/>
      <c r="CM47" s="667">
        <f>CK47*CL47</f>
        <v>0</v>
      </c>
      <c r="CP47" s="666">
        <f>CN47*CO47</f>
        <v>0</v>
      </c>
      <c r="CQ47" s="665"/>
      <c r="CS47" s="667">
        <f>CQ47*CR47</f>
        <v>0</v>
      </c>
      <c r="CX47" s="187">
        <v>24.69</v>
      </c>
      <c r="CY47" s="187">
        <v>13.14</v>
      </c>
      <c r="DA47" s="187">
        <v>24.741249499999999</v>
      </c>
      <c r="DB47" s="187">
        <v>90</v>
      </c>
      <c r="DD47" s="187">
        <f>DA47*DB47</f>
        <v>2226.7124549999999</v>
      </c>
      <c r="DI47" s="2174"/>
      <c r="DJ47" s="2174"/>
      <c r="DK47" s="2174"/>
      <c r="DL47" s="2174"/>
      <c r="DM47" s="2174"/>
    </row>
    <row r="48" spans="1:117" s="164" customFormat="1" ht="19.149999999999999" customHeight="1" x14ac:dyDescent="0.2">
      <c r="A48" s="2503"/>
      <c r="B48" s="21"/>
      <c r="C48" s="507">
        <v>4</v>
      </c>
      <c r="D48" s="189" t="s">
        <v>1047</v>
      </c>
      <c r="E48" s="189"/>
      <c r="F48" s="449"/>
      <c r="G48" s="457">
        <v>60</v>
      </c>
      <c r="H48" s="2853">
        <v>60</v>
      </c>
      <c r="I48" s="2853">
        <v>65</v>
      </c>
      <c r="J48" s="260">
        <v>65</v>
      </c>
      <c r="K48" s="260">
        <v>65</v>
      </c>
      <c r="L48" s="260"/>
      <c r="M48" s="387">
        <f>Stammdaten!$P$9*100</f>
        <v>7.0000000000000009</v>
      </c>
      <c r="N48" s="390">
        <f t="shared" si="5"/>
        <v>69.55</v>
      </c>
      <c r="O48" s="2503"/>
      <c r="P48" s="130">
        <f t="shared" si="0"/>
        <v>43</v>
      </c>
      <c r="Q48" s="187" t="s">
        <v>1553</v>
      </c>
      <c r="R48" s="130"/>
      <c r="AE48" s="164" t="s">
        <v>212</v>
      </c>
      <c r="AU48" s="21"/>
      <c r="AV48" s="1693" t="s">
        <v>186</v>
      </c>
      <c r="AW48" s="517">
        <v>2.5</v>
      </c>
      <c r="AX48" s="22">
        <v>2.5</v>
      </c>
      <c r="AY48" s="517">
        <v>2.5</v>
      </c>
      <c r="AZ48" s="676">
        <v>2.5</v>
      </c>
      <c r="BA48" s="676">
        <v>2.5</v>
      </c>
      <c r="BB48" s="676">
        <v>2.5</v>
      </c>
      <c r="BC48" s="676">
        <v>2.5</v>
      </c>
      <c r="BD48" s="676">
        <v>2.5</v>
      </c>
      <c r="BE48" s="164">
        <v>2.5</v>
      </c>
      <c r="BK48" s="644"/>
      <c r="BL48" s="644" t="s">
        <v>857</v>
      </c>
      <c r="BM48" s="644" t="s">
        <v>1005</v>
      </c>
      <c r="BN48" s="489"/>
      <c r="CA48" s="187"/>
      <c r="CB48" s="665"/>
      <c r="CC48" s="187"/>
      <c r="CD48" s="667">
        <f>CB48*CC48</f>
        <v>0</v>
      </c>
      <c r="CE48" s="187"/>
      <c r="CF48" s="187"/>
      <c r="CG48" s="187">
        <f>CE48*CF48</f>
        <v>0</v>
      </c>
      <c r="CH48" s="665"/>
      <c r="CI48" s="187"/>
      <c r="CJ48" s="666">
        <f>CH48*CI48</f>
        <v>0</v>
      </c>
      <c r="CK48" s="665"/>
      <c r="CL48" s="666"/>
      <c r="CM48" s="667">
        <f>CK48*CL48</f>
        <v>0</v>
      </c>
      <c r="CN48" s="187"/>
      <c r="CO48" s="187"/>
      <c r="CP48" s="666">
        <f>CN48*CO48</f>
        <v>0</v>
      </c>
      <c r="CQ48" s="665"/>
      <c r="CR48" s="187"/>
      <c r="CS48" s="667">
        <f>CQ48*CR48</f>
        <v>0</v>
      </c>
      <c r="CX48" s="681">
        <f>(CX47-CX46)/CX47</f>
        <v>-4.5767517213446698E-2</v>
      </c>
      <c r="CY48" s="681">
        <f>(CY47-CY46)/CY47</f>
        <v>3.7290715372907166E-2</v>
      </c>
      <c r="DD48" s="164">
        <v>13.966999999999999</v>
      </c>
    </row>
    <row r="49" spans="1:103" s="164" customFormat="1" ht="19.149999999999999" customHeight="1" thickBot="1" x14ac:dyDescent="0.25">
      <c r="A49" s="2503"/>
      <c r="B49" s="21"/>
      <c r="C49" s="507">
        <v>5</v>
      </c>
      <c r="D49" s="189" t="s">
        <v>146</v>
      </c>
      <c r="E49" s="189"/>
      <c r="F49" s="449"/>
      <c r="G49" s="457">
        <v>100</v>
      </c>
      <c r="H49" s="2853">
        <v>100</v>
      </c>
      <c r="I49" s="2853">
        <v>100</v>
      </c>
      <c r="J49" s="260">
        <v>100</v>
      </c>
      <c r="K49" s="260">
        <v>105</v>
      </c>
      <c r="L49" s="260"/>
      <c r="M49" s="387">
        <f>Stammdaten!$P$9*100</f>
        <v>7.0000000000000009</v>
      </c>
      <c r="N49" s="390">
        <f t="shared" si="5"/>
        <v>112.35</v>
      </c>
      <c r="O49" s="2503"/>
      <c r="P49" s="130">
        <f t="shared" si="0"/>
        <v>44</v>
      </c>
      <c r="R49" s="130"/>
      <c r="AJ49" s="164" t="s">
        <v>1013</v>
      </c>
      <c r="AK49" s="3938" t="s">
        <v>1547</v>
      </c>
      <c r="AL49" s="3939"/>
      <c r="AU49" s="21"/>
      <c r="AV49" s="1693"/>
      <c r="AW49" s="517"/>
      <c r="AX49" s="22"/>
      <c r="AY49" s="517"/>
      <c r="AZ49" s="676"/>
      <c r="BA49" s="676"/>
      <c r="BB49" s="676"/>
      <c r="BC49" s="676"/>
      <c r="BD49" s="676"/>
      <c r="BK49" s="644"/>
      <c r="BL49" s="644"/>
      <c r="BM49" s="644"/>
      <c r="BN49" s="489"/>
      <c r="CA49" s="187"/>
      <c r="CB49" s="665"/>
      <c r="CC49" s="187"/>
      <c r="CD49" s="667"/>
      <c r="CE49" s="187"/>
      <c r="CF49" s="187"/>
      <c r="CG49" s="187"/>
      <c r="CH49" s="665"/>
      <c r="CI49" s="187"/>
      <c r="CJ49" s="666"/>
      <c r="CK49" s="665"/>
      <c r="CL49" s="666"/>
      <c r="CM49" s="667"/>
      <c r="CN49" s="187"/>
      <c r="CO49" s="187"/>
      <c r="CP49" s="666"/>
      <c r="CQ49" s="665"/>
      <c r="CR49" s="187"/>
      <c r="CS49" s="667"/>
      <c r="CX49" s="681"/>
      <c r="CY49" s="681"/>
    </row>
    <row r="50" spans="1:103" s="164" customFormat="1" ht="20.100000000000001" customHeight="1" thickBot="1" x14ac:dyDescent="0.25">
      <c r="A50" s="2503"/>
      <c r="B50" s="166"/>
      <c r="C50" s="727">
        <v>6</v>
      </c>
      <c r="D50" s="521" t="s">
        <v>427</v>
      </c>
      <c r="E50" s="521"/>
      <c r="F50" s="728"/>
      <c r="G50" s="1504">
        <v>23</v>
      </c>
      <c r="H50" s="2854">
        <v>23</v>
      </c>
      <c r="I50" s="2854">
        <v>23</v>
      </c>
      <c r="J50" s="729">
        <v>23</v>
      </c>
      <c r="K50" s="729">
        <v>26</v>
      </c>
      <c r="L50" s="729"/>
      <c r="M50" s="730">
        <f>Stammdaten!$P$9*100</f>
        <v>7.0000000000000009</v>
      </c>
      <c r="N50" s="731">
        <f t="shared" si="5"/>
        <v>27.82</v>
      </c>
      <c r="O50" s="2503"/>
      <c r="P50" s="130">
        <f t="shared" si="0"/>
        <v>45</v>
      </c>
      <c r="R50" s="130"/>
      <c r="AJ50" s="3867">
        <v>2018</v>
      </c>
      <c r="AK50" s="3868">
        <v>2022</v>
      </c>
      <c r="AL50" s="3869">
        <v>2021</v>
      </c>
      <c r="AU50" s="21"/>
      <c r="AV50" s="22"/>
      <c r="AW50" s="2180">
        <f t="shared" ref="AW50:BE50" si="9">(AW46+AW47)/2+AW48</f>
        <v>12.350000000000001</v>
      </c>
      <c r="AX50" s="118">
        <f t="shared" si="9"/>
        <v>12.55</v>
      </c>
      <c r="AY50" s="2180">
        <f t="shared" si="9"/>
        <v>11.55</v>
      </c>
      <c r="AZ50" s="2180">
        <f t="shared" si="9"/>
        <v>12.7</v>
      </c>
      <c r="BA50" s="2180">
        <f t="shared" si="9"/>
        <v>11.93</v>
      </c>
      <c r="BB50" s="2180">
        <f t="shared" si="9"/>
        <v>12.655000000000001</v>
      </c>
      <c r="BC50" s="2180">
        <f t="shared" si="9"/>
        <v>18.78</v>
      </c>
      <c r="BD50" s="2180">
        <f t="shared" si="9"/>
        <v>19.704999999999998</v>
      </c>
      <c r="BE50" s="2180">
        <f t="shared" si="9"/>
        <v>17.5</v>
      </c>
      <c r="BK50" s="644" t="s">
        <v>927</v>
      </c>
      <c r="BL50" s="644">
        <v>74.7</v>
      </c>
      <c r="BM50" s="644">
        <v>3.55</v>
      </c>
      <c r="BN50" s="489"/>
      <c r="BO50" s="489">
        <v>72.3</v>
      </c>
      <c r="BP50" s="489">
        <v>2.83</v>
      </c>
      <c r="CA50" s="187"/>
      <c r="CB50" s="665"/>
      <c r="CC50" s="187"/>
      <c r="CD50" s="667">
        <f>CB50*CC50</f>
        <v>0</v>
      </c>
      <c r="CE50" s="187"/>
      <c r="CF50" s="187"/>
      <c r="CG50" s="187">
        <f>CE50*CF50</f>
        <v>0</v>
      </c>
      <c r="CH50" s="665"/>
      <c r="CI50" s="187"/>
      <c r="CJ50" s="666">
        <f>CH50*CI50</f>
        <v>0</v>
      </c>
      <c r="CK50" s="665"/>
      <c r="CL50" s="666"/>
      <c r="CM50" s="667">
        <f>CK50*CL50</f>
        <v>0</v>
      </c>
      <c r="CN50" s="187"/>
      <c r="CO50" s="187"/>
      <c r="CP50" s="666">
        <f>CN50*CO50</f>
        <v>0</v>
      </c>
      <c r="CQ50" s="665"/>
      <c r="CR50" s="187"/>
      <c r="CS50" s="667">
        <f>CQ50*CR50</f>
        <v>0</v>
      </c>
    </row>
    <row r="51" spans="1:103" s="164" customFormat="1" ht="20.100000000000001" customHeight="1" x14ac:dyDescent="0.2">
      <c r="A51" s="2503"/>
      <c r="B51" s="21"/>
      <c r="C51" s="507">
        <v>7</v>
      </c>
      <c r="D51" s="726" t="s">
        <v>428</v>
      </c>
      <c r="E51" s="189"/>
      <c r="F51" s="449"/>
      <c r="G51" s="457">
        <v>237.5</v>
      </c>
      <c r="H51" s="2853">
        <v>235</v>
      </c>
      <c r="I51" s="2853">
        <v>152.79</v>
      </c>
      <c r="J51" s="260">
        <v>210</v>
      </c>
      <c r="K51" s="260">
        <v>301</v>
      </c>
      <c r="L51" s="260"/>
      <c r="M51" s="387">
        <f>Stammdaten!$P$9*100</f>
        <v>7.0000000000000009</v>
      </c>
      <c r="N51" s="390">
        <f t="shared" si="5"/>
        <v>322.07</v>
      </c>
      <c r="O51" s="2503"/>
      <c r="P51" s="130">
        <f t="shared" si="0"/>
        <v>46</v>
      </c>
      <c r="Q51" s="164" t="s">
        <v>1552</v>
      </c>
      <c r="R51" s="130"/>
      <c r="AE51" s="164" t="s">
        <v>664</v>
      </c>
      <c r="AJ51" s="3866">
        <v>178.61</v>
      </c>
      <c r="AK51" s="3866">
        <v>3520</v>
      </c>
      <c r="AL51" s="3866">
        <v>2500</v>
      </c>
      <c r="AU51" s="21"/>
      <c r="AV51" s="118" t="s">
        <v>223</v>
      </c>
      <c r="AW51" s="2180">
        <v>24.69</v>
      </c>
      <c r="AX51" s="118">
        <v>25.75</v>
      </c>
      <c r="AY51" s="2180">
        <v>24.05</v>
      </c>
      <c r="AZ51" s="2181">
        <v>23.4</v>
      </c>
      <c r="BA51" s="2181">
        <v>24.24</v>
      </c>
      <c r="BB51" s="2181">
        <v>21.02</v>
      </c>
      <c r="BC51" s="2181">
        <v>26.19</v>
      </c>
      <c r="BD51" s="2181">
        <v>34.39</v>
      </c>
      <c r="BE51" s="164">
        <v>47</v>
      </c>
      <c r="BK51" s="644" t="s">
        <v>927</v>
      </c>
      <c r="BL51" s="489">
        <v>70.099999999999994</v>
      </c>
      <c r="BM51" s="489">
        <v>3.84</v>
      </c>
      <c r="BO51" s="489">
        <v>75.7</v>
      </c>
      <c r="BP51" s="489">
        <v>2.62</v>
      </c>
      <c r="CA51" s="187"/>
      <c r="CB51" s="665"/>
      <c r="CC51" s="187"/>
      <c r="CD51" s="667"/>
      <c r="CE51" s="187"/>
      <c r="CF51" s="187"/>
      <c r="CG51" s="187"/>
      <c r="CH51" s="665"/>
      <c r="CI51" s="187"/>
      <c r="CJ51" s="666"/>
      <c r="CK51" s="665"/>
      <c r="CL51" s="666"/>
      <c r="CM51" s="667"/>
      <c r="CN51" s="187"/>
      <c r="CO51" s="187"/>
      <c r="CP51" s="666"/>
      <c r="CQ51" s="665"/>
      <c r="CR51" s="187"/>
      <c r="CS51" s="667"/>
    </row>
    <row r="52" spans="1:103" s="164" customFormat="1" ht="20.100000000000001" customHeight="1" x14ac:dyDescent="0.2">
      <c r="A52" s="2503"/>
      <c r="B52" s="21"/>
      <c r="C52" s="507">
        <v>8</v>
      </c>
      <c r="D52" s="726" t="s">
        <v>431</v>
      </c>
      <c r="E52" s="189"/>
      <c r="F52" s="449"/>
      <c r="G52" s="457">
        <v>32.1</v>
      </c>
      <c r="H52" s="2853">
        <v>29.1</v>
      </c>
      <c r="I52" s="2853">
        <v>27.2</v>
      </c>
      <c r="J52" s="260">
        <v>33</v>
      </c>
      <c r="K52" s="260">
        <v>39.5</v>
      </c>
      <c r="L52" s="260"/>
      <c r="M52" s="387">
        <f>Stammdaten!$P$9*100</f>
        <v>7.0000000000000009</v>
      </c>
      <c r="N52" s="390">
        <f t="shared" si="5"/>
        <v>42.265000000000001</v>
      </c>
      <c r="O52" s="2503"/>
      <c r="P52" s="130">
        <f t="shared" si="0"/>
        <v>47</v>
      </c>
      <c r="Q52" s="187" t="s">
        <v>1548</v>
      </c>
      <c r="R52" s="130"/>
      <c r="AJ52" s="3006">
        <v>126.97</v>
      </c>
      <c r="AK52" s="3006">
        <v>2500</v>
      </c>
      <c r="AL52" s="3006">
        <v>1700</v>
      </c>
      <c r="AU52" s="21"/>
      <c r="AV52" s="22"/>
      <c r="AW52" s="517" t="s">
        <v>125</v>
      </c>
      <c r="AX52" s="22"/>
      <c r="AY52" s="1697">
        <v>20</v>
      </c>
      <c r="AZ52" s="676"/>
      <c r="BA52" s="676"/>
      <c r="BB52" s="676"/>
      <c r="BC52" s="676"/>
      <c r="BD52" s="676"/>
      <c r="BK52" s="644" t="s">
        <v>927</v>
      </c>
      <c r="BL52" s="489">
        <v>72.099999999999994</v>
      </c>
      <c r="BM52" s="489">
        <v>4.1900000000000004</v>
      </c>
      <c r="BO52" s="489">
        <v>67</v>
      </c>
      <c r="BP52" s="489">
        <v>2.75</v>
      </c>
      <c r="CA52" s="187"/>
      <c r="CB52" s="665"/>
      <c r="CC52" s="187"/>
      <c r="CD52" s="667"/>
      <c r="CE52" s="187"/>
      <c r="CF52" s="187"/>
      <c r="CG52" s="187"/>
      <c r="CH52" s="665"/>
      <c r="CI52" s="187"/>
      <c r="CJ52" s="666"/>
      <c r="CK52" s="665"/>
      <c r="CL52" s="666"/>
      <c r="CM52" s="667"/>
      <c r="CN52" s="187"/>
      <c r="CO52" s="187"/>
      <c r="CP52" s="666"/>
      <c r="CQ52" s="665"/>
      <c r="CR52" s="187"/>
      <c r="CS52" s="667"/>
    </row>
    <row r="53" spans="1:103" s="164" customFormat="1" ht="20.100000000000001" customHeight="1" x14ac:dyDescent="0.2">
      <c r="A53" s="2503"/>
      <c r="B53" s="21"/>
      <c r="C53" s="507">
        <v>9</v>
      </c>
      <c r="D53" s="726" t="s">
        <v>432</v>
      </c>
      <c r="E53" s="189"/>
      <c r="F53" s="449"/>
      <c r="G53" s="457">
        <v>14</v>
      </c>
      <c r="H53" s="2853">
        <v>14</v>
      </c>
      <c r="I53" s="2853">
        <v>14</v>
      </c>
      <c r="J53" s="260">
        <v>14</v>
      </c>
      <c r="K53" s="260">
        <v>14</v>
      </c>
      <c r="L53" s="260"/>
      <c r="M53" s="387">
        <f>Stammdaten!$P$9*100</f>
        <v>7.0000000000000009</v>
      </c>
      <c r="N53" s="390">
        <f t="shared" si="5"/>
        <v>14.98</v>
      </c>
      <c r="O53" s="2503"/>
      <c r="P53" s="130">
        <f t="shared" si="0"/>
        <v>48</v>
      </c>
      <c r="Q53" s="187" t="s">
        <v>1526</v>
      </c>
      <c r="R53" s="130"/>
      <c r="AJ53" s="3006">
        <f>(AJ51+AJ52)/2</f>
        <v>152.79000000000002</v>
      </c>
      <c r="AK53" s="3006">
        <f>(AK51+AK52)/2</f>
        <v>3010</v>
      </c>
      <c r="AL53" s="3006">
        <f>(AL51+AL52)/2</f>
        <v>2100</v>
      </c>
      <c r="AU53" s="191" t="s">
        <v>187</v>
      </c>
      <c r="AV53" s="193"/>
      <c r="AW53" s="1696">
        <f t="shared" ref="AW53:BC53" si="10">(AW50*(100-$AY$52)+AW51*$AY$52)/100</f>
        <v>14.818000000000001</v>
      </c>
      <c r="AX53" s="1694">
        <f t="shared" si="10"/>
        <v>15.19</v>
      </c>
      <c r="AY53" s="1696">
        <f t="shared" si="10"/>
        <v>14.05</v>
      </c>
      <c r="AZ53" s="1695">
        <f t="shared" si="10"/>
        <v>14.84</v>
      </c>
      <c r="BA53" s="1695">
        <f t="shared" si="10"/>
        <v>14.391999999999998</v>
      </c>
      <c r="BB53" s="1695">
        <f t="shared" si="10"/>
        <v>14.328000000000001</v>
      </c>
      <c r="BC53" s="1695">
        <f t="shared" si="10"/>
        <v>20.262000000000004</v>
      </c>
      <c r="BD53" s="1695">
        <f>(BD50*(100-$AY$52)+BD51*$AY$52)/100</f>
        <v>22.641999999999999</v>
      </c>
      <c r="BE53" s="1695">
        <f>(BE50*(100-$AY$52)+BE51*$AY$52)/100</f>
        <v>23.4</v>
      </c>
      <c r="BK53" s="489"/>
      <c r="BL53" s="489"/>
      <c r="BM53" s="489"/>
      <c r="BN53" s="489"/>
      <c r="BO53" s="489"/>
      <c r="BP53" s="489"/>
      <c r="CA53" s="187"/>
      <c r="CB53" s="665"/>
      <c r="CC53" s="187"/>
      <c r="CD53" s="667"/>
      <c r="CE53" s="187"/>
      <c r="CF53" s="187"/>
      <c r="CG53" s="187"/>
      <c r="CH53" s="665"/>
      <c r="CI53" s="187"/>
      <c r="CJ53" s="666"/>
      <c r="CK53" s="665"/>
      <c r="CL53" s="666"/>
      <c r="CM53" s="667"/>
      <c r="CN53" s="187"/>
      <c r="CO53" s="187"/>
      <c r="CP53" s="666"/>
      <c r="CQ53" s="665"/>
      <c r="CR53" s="187"/>
      <c r="CS53" s="667"/>
    </row>
    <row r="54" spans="1:103" s="164" customFormat="1" ht="20.100000000000001" customHeight="1" x14ac:dyDescent="0.2">
      <c r="A54" s="2503"/>
      <c r="B54" s="21"/>
      <c r="C54" s="507">
        <v>10</v>
      </c>
      <c r="D54" s="508" t="s">
        <v>1094</v>
      </c>
      <c r="E54" s="189"/>
      <c r="F54" s="449"/>
      <c r="G54" s="457"/>
      <c r="H54" s="2853"/>
      <c r="I54" s="2853"/>
      <c r="J54" s="260"/>
      <c r="K54" s="260"/>
      <c r="L54" s="260"/>
      <c r="M54" s="387">
        <f>Stammdaten!$P$9*100</f>
        <v>7.0000000000000009</v>
      </c>
      <c r="N54" s="390">
        <f t="shared" si="5"/>
        <v>0</v>
      </c>
      <c r="O54" s="2503"/>
      <c r="P54" s="130">
        <f t="shared" si="0"/>
        <v>49</v>
      </c>
      <c r="R54" s="130"/>
      <c r="V54" s="164" t="s">
        <v>1214</v>
      </c>
      <c r="AU54" s="164" t="s">
        <v>188</v>
      </c>
      <c r="BK54" s="164" t="s">
        <v>206</v>
      </c>
      <c r="BL54" s="489"/>
      <c r="BM54" s="489"/>
      <c r="BN54" s="652">
        <f>(BP50+BP51+BP52)/(BM52+BM51+BM50)</f>
        <v>0.70811744386873898</v>
      </c>
      <c r="BO54" s="489"/>
      <c r="BP54" s="489"/>
      <c r="CA54" s="187"/>
      <c r="CB54" s="665"/>
      <c r="CC54" s="187"/>
      <c r="CD54" s="667"/>
      <c r="CE54" s="187"/>
      <c r="CF54" s="187"/>
      <c r="CG54" s="187"/>
      <c r="CH54" s="665"/>
      <c r="CI54" s="187"/>
      <c r="CJ54" s="666"/>
      <c r="CK54" s="665"/>
      <c r="CL54" s="666"/>
      <c r="CM54" s="667"/>
      <c r="CN54" s="187"/>
      <c r="CO54" s="187"/>
      <c r="CP54" s="666"/>
      <c r="CQ54" s="665"/>
      <c r="CR54" s="187"/>
      <c r="CS54" s="667"/>
    </row>
    <row r="55" spans="1:103" s="164" customFormat="1" ht="20.100000000000001" customHeight="1" x14ac:dyDescent="0.2">
      <c r="A55" s="2503"/>
      <c r="B55" s="2188"/>
      <c r="C55" s="2194">
        <v>11</v>
      </c>
      <c r="D55" s="2189" t="s">
        <v>1081</v>
      </c>
      <c r="E55" s="2189"/>
      <c r="F55" s="2190" t="s">
        <v>899</v>
      </c>
      <c r="G55" s="2191">
        <v>2.02</v>
      </c>
      <c r="H55" s="2855">
        <v>2.04</v>
      </c>
      <c r="I55" s="2855">
        <v>2.06</v>
      </c>
      <c r="J55" s="2990">
        <v>2.12</v>
      </c>
      <c r="K55" s="2990">
        <v>2.15</v>
      </c>
      <c r="L55" s="2719"/>
      <c r="M55" s="2192">
        <f>Stammdaten!$P$9*100</f>
        <v>7.0000000000000009</v>
      </c>
      <c r="N55" s="2193">
        <f t="shared" si="5"/>
        <v>2.3005</v>
      </c>
      <c r="O55" s="2503"/>
      <c r="P55" s="130">
        <f t="shared" si="0"/>
        <v>50</v>
      </c>
      <c r="R55" s="130"/>
      <c r="T55" s="164" t="s">
        <v>1256</v>
      </c>
      <c r="V55" s="164">
        <v>2006</v>
      </c>
      <c r="W55" s="164">
        <v>2007</v>
      </c>
      <c r="X55" s="164">
        <v>2008</v>
      </c>
      <c r="Y55" s="164">
        <v>2009</v>
      </c>
      <c r="Z55" s="164">
        <v>2010</v>
      </c>
      <c r="BL55" s="489"/>
      <c r="BM55" s="489"/>
      <c r="BO55" s="489"/>
      <c r="BP55" s="489"/>
      <c r="CA55" s="187"/>
      <c r="CB55" s="665"/>
      <c r="CC55" s="187"/>
      <c r="CD55" s="667">
        <f>CB55*CC55</f>
        <v>0</v>
      </c>
      <c r="CE55" s="187"/>
      <c r="CF55" s="187"/>
      <c r="CG55" s="187">
        <f>CE55*CF55</f>
        <v>0</v>
      </c>
      <c r="CH55" s="665"/>
      <c r="CI55" s="187"/>
      <c r="CJ55" s="666">
        <f>CH55*CI55</f>
        <v>0</v>
      </c>
      <c r="CK55" s="665"/>
      <c r="CL55" s="666"/>
      <c r="CM55" s="667">
        <f>CK55*CL55</f>
        <v>0</v>
      </c>
      <c r="CN55" s="187"/>
      <c r="CO55" s="187"/>
      <c r="CP55" s="666">
        <f>CN55*CO55</f>
        <v>0</v>
      </c>
      <c r="CQ55" s="665"/>
      <c r="CR55" s="187"/>
      <c r="CS55" s="667">
        <f>CQ55*CR55</f>
        <v>0</v>
      </c>
    </row>
    <row r="56" spans="1:103" s="164" customFormat="1" ht="20.100000000000001" customHeight="1" x14ac:dyDescent="0.2">
      <c r="A56" s="2503"/>
      <c r="B56" s="2188"/>
      <c r="C56" s="2194">
        <v>12</v>
      </c>
      <c r="D56" s="2189" t="s">
        <v>898</v>
      </c>
      <c r="E56" s="2189"/>
      <c r="F56" s="2190" t="s">
        <v>712</v>
      </c>
      <c r="G56" s="2191">
        <v>0.24</v>
      </c>
      <c r="H56" s="2855">
        <v>0.25</v>
      </c>
      <c r="I56" s="2855">
        <v>0.26</v>
      </c>
      <c r="J56" s="2990">
        <v>0.28000000000000003</v>
      </c>
      <c r="K56" s="2990">
        <v>0.32</v>
      </c>
      <c r="L56" s="2719"/>
      <c r="M56" s="2192">
        <f>Stammdaten!$P$10*100</f>
        <v>19</v>
      </c>
      <c r="N56" s="2193">
        <f t="shared" si="5"/>
        <v>0.38080000000000003</v>
      </c>
      <c r="O56" s="2503"/>
      <c r="P56" s="130">
        <f t="shared" si="0"/>
        <v>51</v>
      </c>
      <c r="Q56" s="187"/>
      <c r="R56" s="130"/>
      <c r="U56" s="164" t="s">
        <v>1213</v>
      </c>
      <c r="W56" s="164">
        <v>2.3199999999999998</v>
      </c>
      <c r="X56" s="164">
        <v>2.82</v>
      </c>
      <c r="Y56" s="164">
        <v>4.25</v>
      </c>
      <c r="Z56" s="164">
        <v>1.55</v>
      </c>
      <c r="BL56" s="489"/>
      <c r="BM56" s="489"/>
      <c r="BO56" s="489"/>
      <c r="BP56" s="489"/>
      <c r="CA56" s="187"/>
      <c r="CB56" s="665"/>
      <c r="CC56" s="187"/>
      <c r="CD56" s="667"/>
      <c r="CE56" s="187"/>
      <c r="CF56" s="187"/>
      <c r="CG56" s="187"/>
      <c r="CH56" s="665"/>
      <c r="CI56" s="187"/>
      <c r="CJ56" s="666"/>
      <c r="CK56" s="665"/>
      <c r="CL56" s="666"/>
      <c r="CM56" s="667"/>
      <c r="CN56" s="187"/>
      <c r="CO56" s="187"/>
      <c r="CP56" s="666"/>
      <c r="CQ56" s="665"/>
      <c r="CR56" s="187"/>
      <c r="CS56" s="667"/>
    </row>
    <row r="57" spans="1:103" s="164" customFormat="1" ht="20.100000000000001" customHeight="1" x14ac:dyDescent="0.2">
      <c r="A57" s="2503"/>
      <c r="B57" s="166"/>
      <c r="C57" s="727">
        <v>13</v>
      </c>
      <c r="D57" s="521" t="s">
        <v>489</v>
      </c>
      <c r="E57" s="521"/>
      <c r="F57" s="728" t="s">
        <v>899</v>
      </c>
      <c r="G57" s="1504">
        <v>3.5</v>
      </c>
      <c r="H57" s="2855">
        <v>3.5</v>
      </c>
      <c r="I57" s="2855">
        <v>3.5</v>
      </c>
      <c r="J57" s="729">
        <v>4.5</v>
      </c>
      <c r="K57" s="729">
        <v>4.5</v>
      </c>
      <c r="L57" s="2720"/>
      <c r="M57" s="730">
        <f>Stammdaten!$P$10*100</f>
        <v>19</v>
      </c>
      <c r="N57" s="731">
        <f t="shared" si="5"/>
        <v>5.3550000000000004</v>
      </c>
      <c r="O57" s="2503"/>
      <c r="P57" s="130">
        <f t="shared" si="0"/>
        <v>52</v>
      </c>
      <c r="Q57" s="164" t="s">
        <v>1527</v>
      </c>
      <c r="R57" s="130"/>
      <c r="S57" s="187"/>
      <c r="V57" s="2855">
        <v>1.65</v>
      </c>
      <c r="W57" s="2855">
        <f>V57+V57*W56/100</f>
        <v>1.68828</v>
      </c>
      <c r="X57" s="2855">
        <f>W57+W57*X56/100</f>
        <v>1.735889496</v>
      </c>
      <c r="Y57" s="2855">
        <f>X57+X57*Y56/100</f>
        <v>1.8096647995799999</v>
      </c>
      <c r="Z57" s="2855">
        <f>Y57+Y57*Z56/100</f>
        <v>1.83771460397349</v>
      </c>
      <c r="BL57" s="489"/>
      <c r="BM57" s="489"/>
      <c r="BO57" s="489"/>
      <c r="BP57" s="489"/>
      <c r="CA57" s="187"/>
      <c r="CB57" s="665"/>
      <c r="CC57" s="187"/>
      <c r="CD57" s="667"/>
      <c r="CE57" s="187"/>
      <c r="CF57" s="187"/>
      <c r="CG57" s="187"/>
      <c r="CH57" s="665"/>
      <c r="CI57" s="187"/>
      <c r="CJ57" s="666"/>
      <c r="CK57" s="665"/>
      <c r="CL57" s="666"/>
      <c r="CM57" s="667"/>
      <c r="CN57" s="187"/>
      <c r="CO57" s="187"/>
      <c r="CP57" s="666"/>
      <c r="CQ57" s="665"/>
      <c r="CR57" s="187"/>
      <c r="CS57" s="667"/>
    </row>
    <row r="58" spans="1:103" s="164" customFormat="1" ht="20.100000000000001" customHeight="1" x14ac:dyDescent="0.2">
      <c r="A58" s="2503"/>
      <c r="B58" s="21"/>
      <c r="C58" s="2549">
        <v>14</v>
      </c>
      <c r="D58" s="522" t="s">
        <v>759</v>
      </c>
      <c r="E58" s="522"/>
      <c r="F58" s="2550" t="s">
        <v>899</v>
      </c>
      <c r="G58" s="2553">
        <v>2.1</v>
      </c>
      <c r="H58" s="2856">
        <v>2.1</v>
      </c>
      <c r="I58" s="2856">
        <v>2.1</v>
      </c>
      <c r="J58" s="3924">
        <v>2.1</v>
      </c>
      <c r="K58" s="3924">
        <v>2.1</v>
      </c>
      <c r="L58" s="2721"/>
      <c r="M58" s="2551">
        <f>Stammdaten!$P$10*100</f>
        <v>19</v>
      </c>
      <c r="N58" s="2552">
        <f t="shared" si="5"/>
        <v>2.4990000000000001</v>
      </c>
      <c r="O58" s="2503"/>
      <c r="P58" s="130">
        <f t="shared" si="0"/>
        <v>53</v>
      </c>
      <c r="Q58" s="130"/>
      <c r="R58" s="130"/>
      <c r="S58" s="187"/>
      <c r="BL58" s="489"/>
      <c r="BM58" s="489"/>
      <c r="BO58" s="489"/>
      <c r="BP58" s="489"/>
      <c r="CA58" s="187"/>
      <c r="CB58" s="665"/>
      <c r="CC58" s="187"/>
      <c r="CD58" s="667"/>
      <c r="CE58" s="187"/>
      <c r="CF58" s="187"/>
      <c r="CG58" s="187"/>
      <c r="CH58" s="665"/>
      <c r="CI58" s="187"/>
      <c r="CJ58" s="666"/>
      <c r="CK58" s="665"/>
      <c r="CL58" s="666"/>
      <c r="CM58" s="667"/>
      <c r="CN58" s="187"/>
      <c r="CO58" s="187"/>
      <c r="CP58" s="666"/>
      <c r="CQ58" s="665"/>
      <c r="CR58" s="187"/>
      <c r="CS58" s="667"/>
    </row>
    <row r="59" spans="1:103" s="164" customFormat="1" ht="26.45" customHeight="1" x14ac:dyDescent="0.2">
      <c r="A59" s="2503"/>
      <c r="B59" s="293"/>
      <c r="C59" s="115" t="s">
        <v>594</v>
      </c>
      <c r="D59" s="178"/>
      <c r="E59" s="178"/>
      <c r="F59" s="516"/>
      <c r="G59" s="3005" t="s">
        <v>1531</v>
      </c>
      <c r="H59" s="2998"/>
      <c r="I59" s="2998"/>
      <c r="J59" s="2998"/>
      <c r="K59" s="2998"/>
      <c r="L59" s="2999"/>
      <c r="M59" s="2519"/>
      <c r="N59" s="2520"/>
      <c r="O59" s="2503"/>
      <c r="P59" s="130">
        <f t="shared" si="0"/>
        <v>54</v>
      </c>
      <c r="Q59" s="130"/>
      <c r="R59" s="130"/>
      <c r="S59" t="s">
        <v>1442</v>
      </c>
      <c r="W59" s="164" t="s">
        <v>846</v>
      </c>
      <c r="BK59" s="489" t="s">
        <v>915</v>
      </c>
      <c r="BL59" s="489">
        <v>78.599999999999994</v>
      </c>
      <c r="BM59" s="489">
        <v>6.87</v>
      </c>
      <c r="BN59" s="489"/>
      <c r="BO59" s="489">
        <v>67.3</v>
      </c>
      <c r="BP59" s="489">
        <v>3.19</v>
      </c>
      <c r="CA59" s="664">
        <v>36939</v>
      </c>
      <c r="CB59" s="665"/>
      <c r="CC59" s="187"/>
      <c r="CD59" s="667">
        <f>CB59*CC59</f>
        <v>0</v>
      </c>
      <c r="CE59" s="187"/>
      <c r="CF59" s="187"/>
      <c r="CG59" s="187">
        <f>CE59*CF59</f>
        <v>0</v>
      </c>
      <c r="CH59" s="665"/>
      <c r="CI59" s="187"/>
      <c r="CJ59" s="666">
        <f>CH59*CI59</f>
        <v>0</v>
      </c>
      <c r="CK59" s="665">
        <v>19</v>
      </c>
      <c r="CL59" s="666">
        <v>2213</v>
      </c>
      <c r="CM59" s="667">
        <f>CK59*CL59</f>
        <v>42047</v>
      </c>
      <c r="CN59" s="187"/>
      <c r="CO59" s="187"/>
      <c r="CP59" s="666">
        <f>CN59*CO59</f>
        <v>0</v>
      </c>
      <c r="CQ59" s="665">
        <v>130</v>
      </c>
      <c r="CR59" s="187">
        <v>1930</v>
      </c>
      <c r="CS59" s="667">
        <f>CQ59*CR59</f>
        <v>250900</v>
      </c>
    </row>
    <row r="60" spans="1:103" s="164" customFormat="1" ht="19.149999999999999" customHeight="1" x14ac:dyDescent="0.2">
      <c r="A60" s="2503"/>
      <c r="B60" s="21"/>
      <c r="C60" s="3803" t="s">
        <v>1532</v>
      </c>
      <c r="D60" s="189"/>
      <c r="E60" s="189"/>
      <c r="F60" s="449"/>
      <c r="G60" s="457"/>
      <c r="H60" s="457"/>
      <c r="I60" s="457"/>
      <c r="J60" s="457"/>
      <c r="K60" s="457"/>
      <c r="L60" s="457"/>
      <c r="M60" s="387"/>
      <c r="N60" s="390"/>
      <c r="O60" s="2503"/>
      <c r="P60" s="130">
        <f t="shared" si="0"/>
        <v>55</v>
      </c>
      <c r="Q60" s="130"/>
      <c r="R60" s="130"/>
      <c r="S60" t="s">
        <v>1443</v>
      </c>
      <c r="T60" s="2996">
        <f>COLUMNS(C61:T61)</f>
        <v>18</v>
      </c>
      <c r="U60" s="2523">
        <f>COLUMNS(C61:U61)</f>
        <v>19</v>
      </c>
      <c r="W60" s="3003" t="s">
        <v>845</v>
      </c>
      <c r="X60" s="3003" t="s">
        <v>844</v>
      </c>
      <c r="Y60" s="3003" t="s">
        <v>843</v>
      </c>
      <c r="Z60" s="3004" t="s">
        <v>861</v>
      </c>
      <c r="AA60" s="3004" t="s">
        <v>1069</v>
      </c>
      <c r="AB60" s="164" t="s">
        <v>1070</v>
      </c>
      <c r="BK60" s="489" t="s">
        <v>915</v>
      </c>
      <c r="BL60" s="489">
        <v>76.7</v>
      </c>
      <c r="BM60" s="489">
        <v>6.33</v>
      </c>
      <c r="BO60" s="489">
        <v>69.7</v>
      </c>
      <c r="BP60" s="489">
        <v>5.22</v>
      </c>
      <c r="CA60" s="187"/>
      <c r="CB60" s="665"/>
      <c r="CC60" s="187"/>
      <c r="CD60" s="667">
        <f>CB60*CC60</f>
        <v>0</v>
      </c>
      <c r="CE60" s="187"/>
      <c r="CF60" s="187"/>
      <c r="CG60" s="187">
        <f>CE60*CF60</f>
        <v>0</v>
      </c>
      <c r="CH60" s="665">
        <v>1</v>
      </c>
      <c r="CI60" s="187">
        <v>1100</v>
      </c>
      <c r="CJ60" s="666">
        <f>CH60*CI60</f>
        <v>1100</v>
      </c>
      <c r="CK60" s="665">
        <v>13</v>
      </c>
      <c r="CL60" s="666">
        <v>1692</v>
      </c>
      <c r="CM60" s="667">
        <f>CK60*CL60</f>
        <v>21996</v>
      </c>
      <c r="CN60" s="187"/>
      <c r="CO60" s="187"/>
      <c r="CP60" s="666">
        <f>CN60*CO60</f>
        <v>0</v>
      </c>
      <c r="CQ60" s="665"/>
      <c r="CR60" s="187"/>
      <c r="CS60" s="667">
        <f>CQ60*CR60</f>
        <v>0</v>
      </c>
    </row>
    <row r="61" spans="1:103" s="164" customFormat="1" ht="18.95" customHeight="1" x14ac:dyDescent="0.2">
      <c r="A61" s="2503"/>
      <c r="B61" s="21"/>
      <c r="C61" s="189"/>
      <c r="D61" s="189"/>
      <c r="E61" s="189"/>
      <c r="F61" s="449"/>
      <c r="G61" s="457"/>
      <c r="H61" s="457"/>
      <c r="I61" s="457"/>
      <c r="J61" s="457"/>
      <c r="K61" s="457"/>
      <c r="L61" s="457"/>
      <c r="M61" s="387"/>
      <c r="N61" s="3850">
        <f t="shared" si="5"/>
        <v>0</v>
      </c>
      <c r="O61" s="2503"/>
      <c r="P61" s="130">
        <f t="shared" si="0"/>
        <v>56</v>
      </c>
      <c r="Q61" s="130"/>
      <c r="R61" s="130"/>
      <c r="S61"/>
      <c r="T61" s="2992" t="s">
        <v>347</v>
      </c>
      <c r="U61" s="2671" t="s">
        <v>179</v>
      </c>
      <c r="BK61" s="489"/>
      <c r="BL61" s="489"/>
      <c r="BM61" s="489"/>
      <c r="BN61" s="489"/>
      <c r="BO61" s="489"/>
      <c r="BP61" s="489"/>
      <c r="CA61" s="187"/>
      <c r="CB61" s="665"/>
      <c r="CC61" s="187"/>
      <c r="CD61" s="667">
        <f>CB61*CC61</f>
        <v>0</v>
      </c>
      <c r="CE61" s="187"/>
      <c r="CF61" s="187"/>
      <c r="CG61" s="187">
        <f>CE61*CF61</f>
        <v>0</v>
      </c>
      <c r="CH61" s="665"/>
      <c r="CI61" s="187"/>
      <c r="CJ61" s="666">
        <f>CH61*CI61</f>
        <v>0</v>
      </c>
      <c r="CK61" s="665"/>
      <c r="CL61" s="666"/>
      <c r="CM61" s="667">
        <f>CK61*CL61</f>
        <v>0</v>
      </c>
      <c r="CN61" s="187"/>
      <c r="CO61" s="187"/>
      <c r="CP61" s="666">
        <f>CN61*CO61</f>
        <v>0</v>
      </c>
      <c r="CQ61" s="665">
        <v>51</v>
      </c>
      <c r="CR61" s="187">
        <v>2163</v>
      </c>
      <c r="CS61" s="667">
        <f>CQ61*CR61</f>
        <v>110313</v>
      </c>
    </row>
    <row r="62" spans="1:103" s="164" customFormat="1" ht="20.100000000000001" customHeight="1" x14ac:dyDescent="0.2">
      <c r="A62" s="2503"/>
      <c r="B62" s="166"/>
      <c r="C62" s="521">
        <v>1</v>
      </c>
      <c r="D62" s="521" t="s">
        <v>637</v>
      </c>
      <c r="E62" s="521"/>
      <c r="F62" s="2518" t="s">
        <v>1048</v>
      </c>
      <c r="G62" s="3828">
        <v>0.28999999999999998</v>
      </c>
      <c r="H62" s="3828">
        <v>0.28999999999999998</v>
      </c>
      <c r="I62" s="3828">
        <f>0.34-S62</f>
        <v>0.29000000000000004</v>
      </c>
      <c r="J62" s="2743">
        <v>0.39</v>
      </c>
      <c r="K62" s="2743">
        <v>0.43</v>
      </c>
      <c r="L62" s="2743"/>
      <c r="M62" s="3849">
        <f>Stammdaten!$P$9*100</f>
        <v>7.0000000000000009</v>
      </c>
      <c r="N62" s="2193">
        <f t="shared" si="5"/>
        <v>0.46010000000000001</v>
      </c>
      <c r="O62" s="2503"/>
      <c r="P62" s="130">
        <f t="shared" si="0"/>
        <v>57</v>
      </c>
      <c r="Q62" s="130"/>
      <c r="R62" s="130"/>
      <c r="S62" s="3771">
        <v>0.05</v>
      </c>
      <c r="T62" s="2996">
        <v>4117</v>
      </c>
      <c r="U62" s="2523">
        <v>12.8</v>
      </c>
      <c r="W62" s="2523">
        <v>118</v>
      </c>
      <c r="X62" s="2523">
        <v>285</v>
      </c>
      <c r="Y62" s="2523">
        <f>W62+X62</f>
        <v>403</v>
      </c>
      <c r="Z62" s="2523"/>
      <c r="AA62" s="2523"/>
      <c r="BK62" s="489" t="s">
        <v>915</v>
      </c>
      <c r="BL62" s="488">
        <v>81.2</v>
      </c>
      <c r="BM62" s="488">
        <v>6.9</v>
      </c>
      <c r="BN62" s="488"/>
      <c r="BO62" s="488">
        <v>68.8</v>
      </c>
      <c r="BP62" s="488">
        <v>5.31</v>
      </c>
      <c r="CA62" s="672">
        <v>36932</v>
      </c>
      <c r="CB62" s="21"/>
      <c r="CD62" s="667">
        <f>CB62*CC62</f>
        <v>0</v>
      </c>
      <c r="CG62" s="187">
        <f>CE62*CF62</f>
        <v>0</v>
      </c>
      <c r="CH62" s="21">
        <v>1</v>
      </c>
      <c r="CI62" s="164">
        <v>1650</v>
      </c>
      <c r="CJ62" s="666">
        <f>CH62*CI62</f>
        <v>1650</v>
      </c>
      <c r="CK62" s="21">
        <v>13</v>
      </c>
      <c r="CL62" s="22">
        <v>2288</v>
      </c>
      <c r="CM62" s="667">
        <f>CK62*CL62</f>
        <v>29744</v>
      </c>
      <c r="CP62" s="666">
        <f>CN62*CO62</f>
        <v>0</v>
      </c>
      <c r="CQ62" s="21"/>
      <c r="CS62" s="667">
        <f>CQ62*CR62</f>
        <v>0</v>
      </c>
    </row>
    <row r="63" spans="1:103" s="164" customFormat="1" ht="20.100000000000001" customHeight="1" x14ac:dyDescent="0.2">
      <c r="A63" s="2503"/>
      <c r="B63" s="21"/>
      <c r="C63" s="189">
        <v>2</v>
      </c>
      <c r="D63" s="189" t="s">
        <v>726</v>
      </c>
      <c r="E63" s="189"/>
      <c r="F63" s="515"/>
      <c r="G63" s="3829">
        <f>0.21-S63</f>
        <v>0.18</v>
      </c>
      <c r="H63" s="3829">
        <v>0.18</v>
      </c>
      <c r="I63" s="3829">
        <v>0.18</v>
      </c>
      <c r="J63" s="2744">
        <v>0.26</v>
      </c>
      <c r="K63" s="2744">
        <v>0.28999999999999998</v>
      </c>
      <c r="L63" s="3826"/>
      <c r="M63" s="3849">
        <f>Stammdaten!$P$9*100</f>
        <v>7.0000000000000009</v>
      </c>
      <c r="N63" s="2193">
        <f t="shared" si="5"/>
        <v>0.31029999999999996</v>
      </c>
      <c r="O63" s="2503"/>
      <c r="P63" s="130">
        <f t="shared" si="0"/>
        <v>58</v>
      </c>
      <c r="Q63" s="130"/>
      <c r="R63" s="130"/>
      <c r="S63" s="3772">
        <v>0.03</v>
      </c>
      <c r="T63" s="2996">
        <v>4703</v>
      </c>
      <c r="U63" s="2523">
        <v>14</v>
      </c>
      <c r="W63" s="2523">
        <v>118</v>
      </c>
      <c r="X63" s="2523">
        <v>285</v>
      </c>
      <c r="Y63" s="2523">
        <f t="shared" ref="Y63:Y69" si="11">W63+X63</f>
        <v>403</v>
      </c>
      <c r="Z63" s="2523"/>
      <c r="AA63" s="2523"/>
      <c r="BK63" s="489"/>
      <c r="BL63" s="488"/>
      <c r="BM63" s="488"/>
      <c r="BN63" s="488"/>
      <c r="BO63" s="488"/>
      <c r="BP63" s="488"/>
      <c r="CA63" s="672"/>
      <c r="CB63" s="21"/>
      <c r="CD63" s="667"/>
      <c r="CG63" s="187"/>
      <c r="CH63" s="21"/>
      <c r="CJ63" s="666"/>
      <c r="CK63" s="21"/>
      <c r="CL63" s="22"/>
      <c r="CM63" s="667"/>
      <c r="CP63" s="666"/>
      <c r="CQ63" s="21"/>
      <c r="CS63" s="667"/>
    </row>
    <row r="64" spans="1:103" s="164" customFormat="1" ht="20.100000000000001" customHeight="1" x14ac:dyDescent="0.2">
      <c r="A64" s="2503"/>
      <c r="B64" s="21"/>
      <c r="C64" s="189">
        <v>3</v>
      </c>
      <c r="D64" s="189" t="s">
        <v>727</v>
      </c>
      <c r="E64" s="189"/>
      <c r="F64" s="515"/>
      <c r="G64" s="3829">
        <f>0.31-S64</f>
        <v>0.26</v>
      </c>
      <c r="H64" s="3829">
        <f>0.31-S64</f>
        <v>0.26</v>
      </c>
      <c r="I64" s="3829">
        <f>0.31-S64</f>
        <v>0.26</v>
      </c>
      <c r="J64" s="2744">
        <v>0.4</v>
      </c>
      <c r="K64" s="2744">
        <v>0.44</v>
      </c>
      <c r="L64" s="3827"/>
      <c r="M64" s="3849">
        <f>Stammdaten!$P$9*100</f>
        <v>7.0000000000000009</v>
      </c>
      <c r="N64" s="2193">
        <f t="shared" si="5"/>
        <v>0.4708</v>
      </c>
      <c r="O64" s="2503"/>
      <c r="P64" s="130">
        <f t="shared" si="0"/>
        <v>59</v>
      </c>
      <c r="Q64" s="130"/>
      <c r="R64" s="130"/>
      <c r="S64" s="3772">
        <v>0.05</v>
      </c>
      <c r="T64" s="2996">
        <v>3112</v>
      </c>
      <c r="U64" s="2523">
        <v>18.3</v>
      </c>
      <c r="W64" s="2523">
        <v>210</v>
      </c>
      <c r="X64" s="2523">
        <v>285</v>
      </c>
      <c r="Y64" s="2523">
        <f t="shared" si="11"/>
        <v>495</v>
      </c>
      <c r="Z64" s="2523"/>
      <c r="AA64" s="2523"/>
      <c r="BK64" s="489"/>
      <c r="BL64" s="488"/>
      <c r="BM64" s="488"/>
      <c r="BN64" s="488"/>
      <c r="BO64" s="488"/>
      <c r="BP64" s="488"/>
      <c r="CA64" s="672"/>
      <c r="CB64" s="21"/>
      <c r="CD64" s="667"/>
      <c r="CG64" s="187"/>
      <c r="CH64" s="21"/>
      <c r="CJ64" s="666"/>
      <c r="CK64" s="21"/>
      <c r="CL64" s="22"/>
      <c r="CM64" s="667"/>
      <c r="CP64" s="666"/>
      <c r="CQ64" s="21"/>
      <c r="CS64" s="667"/>
    </row>
    <row r="65" spans="1:97" s="164" customFormat="1" ht="20.100000000000001" customHeight="1" x14ac:dyDescent="0.2">
      <c r="A65" s="2503"/>
      <c r="B65" s="166"/>
      <c r="C65" s="521">
        <v>4</v>
      </c>
      <c r="D65" s="521" t="s">
        <v>728</v>
      </c>
      <c r="E65" s="521"/>
      <c r="F65" s="2518"/>
      <c r="G65" s="3828">
        <v>0.12</v>
      </c>
      <c r="H65" s="3828">
        <v>0.12</v>
      </c>
      <c r="I65" s="3828">
        <f>0.15-S65</f>
        <v>0.12</v>
      </c>
      <c r="J65" s="2743">
        <v>0.35</v>
      </c>
      <c r="K65" s="2743">
        <v>0.37</v>
      </c>
      <c r="L65" s="2743"/>
      <c r="M65" s="3849">
        <f>Stammdaten!$P$9*100</f>
        <v>7.0000000000000009</v>
      </c>
      <c r="N65" s="2193">
        <f t="shared" si="5"/>
        <v>0.39589999999999997</v>
      </c>
      <c r="O65" s="2503"/>
      <c r="P65" s="130">
        <f t="shared" si="0"/>
        <v>60</v>
      </c>
      <c r="Q65" s="130"/>
      <c r="R65" s="130"/>
      <c r="S65" s="3772">
        <v>0.03</v>
      </c>
      <c r="T65" s="2996">
        <v>2439</v>
      </c>
      <c r="U65" s="2523">
        <v>15</v>
      </c>
      <c r="W65" s="2523">
        <v>260</v>
      </c>
      <c r="X65" s="2523">
        <v>285</v>
      </c>
      <c r="Y65" s="2523">
        <f t="shared" si="11"/>
        <v>545</v>
      </c>
      <c r="Z65" s="2523"/>
      <c r="AA65" s="2523"/>
      <c r="BK65" s="489"/>
      <c r="BL65" s="488"/>
      <c r="BM65" s="488"/>
      <c r="BN65" s="488"/>
      <c r="BO65" s="488"/>
      <c r="BP65" s="488"/>
      <c r="CA65" s="672"/>
      <c r="CB65" s="21"/>
      <c r="CD65" s="667"/>
      <c r="CG65" s="187"/>
      <c r="CH65" s="21"/>
      <c r="CJ65" s="666"/>
      <c r="CK65" s="21"/>
      <c r="CL65" s="22"/>
      <c r="CM65" s="667"/>
      <c r="CP65" s="666"/>
      <c r="CQ65" s="21"/>
      <c r="CS65" s="667"/>
    </row>
    <row r="66" spans="1:97" s="164" customFormat="1" ht="20.100000000000001" customHeight="1" x14ac:dyDescent="0.2">
      <c r="A66" s="2503"/>
      <c r="B66" s="21"/>
      <c r="C66" s="189">
        <v>5</v>
      </c>
      <c r="D66" s="189" t="s">
        <v>248</v>
      </c>
      <c r="E66" s="189"/>
      <c r="F66" s="449"/>
      <c r="G66" s="3829">
        <v>0.15</v>
      </c>
      <c r="H66" s="3829">
        <v>0.15</v>
      </c>
      <c r="I66" s="3829">
        <v>0.15</v>
      </c>
      <c r="J66" s="2745">
        <v>0.28999999999999998</v>
      </c>
      <c r="K66" s="2745">
        <v>0.31</v>
      </c>
      <c r="L66" s="3827"/>
      <c r="M66" s="3849">
        <f>Stammdaten!$P$9*100</f>
        <v>7.0000000000000009</v>
      </c>
      <c r="N66" s="2193">
        <f t="shared" si="5"/>
        <v>0.33169999999999999</v>
      </c>
      <c r="O66" s="2503"/>
      <c r="P66" s="130">
        <f t="shared" si="0"/>
        <v>61</v>
      </c>
      <c r="Q66" s="130"/>
      <c r="R66" s="130"/>
      <c r="S66" s="3772">
        <v>0.03</v>
      </c>
      <c r="T66" s="2996">
        <v>4457</v>
      </c>
      <c r="U66" s="2523">
        <v>16.2</v>
      </c>
      <c r="W66" s="2523">
        <v>118</v>
      </c>
      <c r="X66" s="2523">
        <v>285</v>
      </c>
      <c r="Y66" s="2523">
        <f t="shared" si="11"/>
        <v>403</v>
      </c>
      <c r="Z66" s="2523"/>
      <c r="AA66" s="2523"/>
      <c r="BK66" s="489"/>
      <c r="BL66" s="488"/>
      <c r="BM66" s="488"/>
      <c r="BN66" s="488"/>
      <c r="BO66" s="488"/>
      <c r="BP66" s="488"/>
      <c r="CA66" s="672"/>
      <c r="CB66" s="21"/>
      <c r="CD66" s="667"/>
      <c r="CG66" s="187"/>
      <c r="CH66" s="21"/>
      <c r="CJ66" s="666"/>
      <c r="CK66" s="21"/>
      <c r="CL66" s="22"/>
      <c r="CM66" s="667"/>
      <c r="CP66" s="666"/>
      <c r="CQ66" s="21"/>
      <c r="CS66" s="667"/>
    </row>
    <row r="67" spans="1:97" s="164" customFormat="1" ht="20.100000000000001" customHeight="1" x14ac:dyDescent="0.2">
      <c r="A67" s="2503"/>
      <c r="B67" s="166"/>
      <c r="C67" s="521">
        <v>6</v>
      </c>
      <c r="D67" s="521" t="s">
        <v>511</v>
      </c>
      <c r="E67" s="521"/>
      <c r="F67" s="728"/>
      <c r="G67" s="3828">
        <v>0.19</v>
      </c>
      <c r="H67" s="3828">
        <v>0.19</v>
      </c>
      <c r="I67" s="3828">
        <v>0.19</v>
      </c>
      <c r="J67" s="2743">
        <v>0.19</v>
      </c>
      <c r="K67" s="2743">
        <v>0.22</v>
      </c>
      <c r="L67" s="2743"/>
      <c r="M67" s="3849">
        <f>Stammdaten!$P$9*100</f>
        <v>7.0000000000000009</v>
      </c>
      <c r="N67" s="2193">
        <f t="shared" si="5"/>
        <v>0.2354</v>
      </c>
      <c r="O67" s="2503"/>
      <c r="P67" s="130">
        <f t="shared" si="0"/>
        <v>62</v>
      </c>
      <c r="Q67" s="130"/>
      <c r="R67" s="130"/>
      <c r="S67" s="3772">
        <v>0.03</v>
      </c>
      <c r="T67" s="2996">
        <v>5765</v>
      </c>
      <c r="U67" s="2523">
        <v>16.3</v>
      </c>
      <c r="W67" s="2523">
        <v>68</v>
      </c>
      <c r="X67" s="2523">
        <v>285</v>
      </c>
      <c r="Y67" s="2523">
        <f t="shared" si="11"/>
        <v>353</v>
      </c>
      <c r="Z67" s="2523"/>
      <c r="AA67" s="2523"/>
      <c r="BK67" s="489"/>
      <c r="BL67" s="488"/>
      <c r="BM67" s="488"/>
      <c r="BN67" s="488"/>
      <c r="BO67" s="488"/>
      <c r="BP67" s="488"/>
      <c r="CA67" s="672"/>
      <c r="CB67" s="21"/>
      <c r="CD67" s="667"/>
      <c r="CG67" s="187"/>
      <c r="CH67" s="21"/>
      <c r="CJ67" s="666"/>
      <c r="CK67" s="21"/>
      <c r="CL67" s="22"/>
      <c r="CM67" s="667"/>
      <c r="CP67" s="666"/>
      <c r="CQ67" s="21"/>
      <c r="CS67" s="667"/>
    </row>
    <row r="68" spans="1:97" s="164" customFormat="1" ht="20.100000000000001" customHeight="1" x14ac:dyDescent="0.2">
      <c r="A68" s="2503"/>
      <c r="B68" s="21"/>
      <c r="C68" s="189">
        <v>7</v>
      </c>
      <c r="D68" s="189" t="s">
        <v>1049</v>
      </c>
      <c r="E68" s="189"/>
      <c r="F68" s="449"/>
      <c r="G68" s="3829">
        <v>0.21</v>
      </c>
      <c r="H68" s="3829">
        <v>0.21</v>
      </c>
      <c r="I68" s="3829">
        <v>0.21</v>
      </c>
      <c r="J68" s="2744">
        <v>0.33</v>
      </c>
      <c r="K68" s="2744">
        <v>0.35</v>
      </c>
      <c r="L68" s="3826"/>
      <c r="M68" s="3849">
        <f>Stammdaten!$P$9*100</f>
        <v>7.0000000000000009</v>
      </c>
      <c r="N68" s="2193">
        <f t="shared" si="5"/>
        <v>0.3745</v>
      </c>
      <c r="O68" s="2503"/>
      <c r="P68" s="130">
        <f t="shared" si="0"/>
        <v>63</v>
      </c>
      <c r="Q68" s="130"/>
      <c r="R68" s="130"/>
      <c r="S68" s="3772">
        <v>0.03</v>
      </c>
      <c r="T68" s="2996">
        <v>7385</v>
      </c>
      <c r="U68" s="2523">
        <v>15.1</v>
      </c>
      <c r="W68" s="2523">
        <v>0</v>
      </c>
      <c r="X68" s="2523">
        <v>285</v>
      </c>
      <c r="Y68" s="2523">
        <f t="shared" si="11"/>
        <v>285</v>
      </c>
      <c r="Z68" s="2523"/>
      <c r="AA68" s="2523"/>
      <c r="AE68" s="164">
        <v>30</v>
      </c>
      <c r="AF68" s="164">
        <v>60</v>
      </c>
      <c r="AG68" s="164">
        <v>45</v>
      </c>
      <c r="AK68" s="164">
        <f>60*45</f>
        <v>2700</v>
      </c>
      <c r="BK68" s="164" t="s">
        <v>206</v>
      </c>
      <c r="BL68" s="488"/>
      <c r="BM68" s="488"/>
      <c r="BN68" s="653">
        <f>(BP59+BP60+BP62)/(BM59+BM60+BM62)</f>
        <v>0.68258706467661678</v>
      </c>
      <c r="BO68" s="488"/>
      <c r="BP68" s="488"/>
      <c r="CB68" s="21"/>
      <c r="CD68" s="667">
        <f>CB68*CC68</f>
        <v>0</v>
      </c>
      <c r="CG68" s="187">
        <f>CE68*CF68</f>
        <v>0</v>
      </c>
      <c r="CH68" s="21"/>
      <c r="CJ68" s="666">
        <f>CH68*CI68</f>
        <v>0</v>
      </c>
      <c r="CK68" s="21">
        <v>10</v>
      </c>
      <c r="CL68" s="22">
        <v>2022</v>
      </c>
      <c r="CM68" s="667">
        <f>CK68*CL68</f>
        <v>20220</v>
      </c>
      <c r="CP68" s="666">
        <f>CN68*CO68</f>
        <v>0</v>
      </c>
      <c r="CQ68" s="21"/>
      <c r="CS68" s="667">
        <f>CQ68*CR68</f>
        <v>0</v>
      </c>
    </row>
    <row r="69" spans="1:97" s="164" customFormat="1" ht="20.100000000000001" customHeight="1" x14ac:dyDescent="0.2">
      <c r="A69" s="2503"/>
      <c r="B69" s="23"/>
      <c r="C69" s="190">
        <v>8</v>
      </c>
      <c r="D69" s="261" t="s">
        <v>1534</v>
      </c>
      <c r="E69" s="190"/>
      <c r="F69" s="2521"/>
      <c r="G69" s="3830">
        <v>0.21</v>
      </c>
      <c r="H69" s="3830">
        <v>0.21</v>
      </c>
      <c r="I69" s="3830">
        <v>0.21</v>
      </c>
      <c r="J69" s="2746">
        <v>0.37</v>
      </c>
      <c r="K69" s="2746">
        <v>0.4</v>
      </c>
      <c r="L69" s="3847"/>
      <c r="M69" s="3849">
        <f>Stammdaten!$P$9*100</f>
        <v>7.0000000000000009</v>
      </c>
      <c r="N69" s="2193">
        <f t="shared" si="5"/>
        <v>0.42800000000000005</v>
      </c>
      <c r="O69" s="2503"/>
      <c r="P69" s="130">
        <f t="shared" si="0"/>
        <v>64</v>
      </c>
      <c r="Q69" s="130"/>
      <c r="R69" s="130"/>
      <c r="S69" s="3773">
        <v>0.03</v>
      </c>
      <c r="T69" s="2996">
        <v>1</v>
      </c>
      <c r="U69" s="2523">
        <v>1</v>
      </c>
      <c r="W69" s="2523"/>
      <c r="X69" s="2523">
        <v>285</v>
      </c>
      <c r="Y69" s="2523">
        <f t="shared" si="11"/>
        <v>285</v>
      </c>
      <c r="Z69" s="2523"/>
      <c r="AA69" s="2523"/>
      <c r="BL69" s="488"/>
      <c r="BM69" s="488"/>
      <c r="BN69" s="653"/>
      <c r="BO69" s="488"/>
      <c r="BP69" s="488"/>
      <c r="CB69" s="21"/>
      <c r="CD69" s="667"/>
      <c r="CG69" s="187"/>
      <c r="CH69" s="21"/>
      <c r="CJ69" s="666"/>
      <c r="CK69" s="21"/>
      <c r="CL69" s="22"/>
      <c r="CM69" s="667"/>
      <c r="CP69" s="666"/>
      <c r="CQ69" s="21"/>
      <c r="CS69" s="667"/>
    </row>
    <row r="70" spans="1:97" s="164" customFormat="1" ht="20.100000000000001" customHeight="1" x14ac:dyDescent="0.2">
      <c r="A70" s="2503"/>
      <c r="B70" s="3801"/>
      <c r="C70" s="189"/>
      <c r="D70" s="2718"/>
      <c r="E70" s="189"/>
      <c r="F70" s="507"/>
      <c r="G70" s="1672"/>
      <c r="H70" s="1672"/>
      <c r="I70" s="1672"/>
      <c r="J70" s="1672"/>
      <c r="K70" s="1672"/>
      <c r="L70" s="1672"/>
      <c r="M70" s="3849"/>
      <c r="N70" s="391"/>
      <c r="O70" s="2503"/>
      <c r="P70" s="130">
        <f t="shared" si="0"/>
        <v>65</v>
      </c>
      <c r="Q70" s="130"/>
      <c r="R70" s="130"/>
      <c r="S70"/>
      <c r="BL70" s="488"/>
      <c r="BM70" s="488"/>
      <c r="BN70" s="653"/>
      <c r="BO70" s="488"/>
      <c r="BP70" s="488"/>
      <c r="CB70" s="21"/>
      <c r="CD70" s="667"/>
      <c r="CG70" s="187"/>
      <c r="CH70" s="21"/>
      <c r="CJ70" s="666"/>
      <c r="CK70" s="21"/>
      <c r="CL70" s="22"/>
      <c r="CM70" s="667"/>
      <c r="CP70" s="666"/>
      <c r="CQ70" s="21"/>
      <c r="CS70" s="667"/>
    </row>
    <row r="71" spans="1:97" s="164" customFormat="1" ht="20.100000000000001" customHeight="1" x14ac:dyDescent="0.2">
      <c r="A71" s="2503"/>
      <c r="B71" s="293"/>
      <c r="C71" s="115" t="s">
        <v>1288</v>
      </c>
      <c r="D71" s="178"/>
      <c r="E71" s="178"/>
      <c r="F71" s="516"/>
      <c r="G71" s="3005" t="s">
        <v>1441</v>
      </c>
      <c r="H71" s="2998"/>
      <c r="I71" s="2998"/>
      <c r="J71" s="2998"/>
      <c r="K71" s="2998"/>
      <c r="L71" s="2999"/>
      <c r="M71" s="3853"/>
      <c r="N71" s="2520"/>
      <c r="O71" s="2503"/>
      <c r="P71" s="130">
        <f t="shared" si="0"/>
        <v>66</v>
      </c>
      <c r="Q71" s="130"/>
      <c r="R71" s="130"/>
      <c r="S71"/>
      <c r="BL71" s="488"/>
      <c r="BM71" s="488"/>
      <c r="BN71" s="653"/>
      <c r="BO71" s="488"/>
      <c r="BP71" s="488"/>
      <c r="CB71" s="21"/>
      <c r="CD71" s="667"/>
      <c r="CG71" s="187"/>
      <c r="CH71" s="21"/>
      <c r="CJ71" s="666"/>
      <c r="CK71" s="21"/>
      <c r="CL71" s="22"/>
      <c r="CM71" s="667"/>
      <c r="CP71" s="666"/>
      <c r="CQ71" s="21"/>
      <c r="CS71" s="667"/>
    </row>
    <row r="72" spans="1:97" s="164" customFormat="1" ht="20.100000000000001" customHeight="1" x14ac:dyDescent="0.2">
      <c r="A72" s="2503"/>
      <c r="B72" s="21"/>
      <c r="C72" s="119" t="s">
        <v>1287</v>
      </c>
      <c r="D72" s="189"/>
      <c r="E72" s="189"/>
      <c r="F72" s="449"/>
      <c r="G72" s="457"/>
      <c r="H72" s="457"/>
      <c r="I72" s="457"/>
      <c r="J72" s="457"/>
      <c r="K72" s="457"/>
      <c r="L72" s="3770"/>
      <c r="M72" s="3851"/>
      <c r="N72" s="390"/>
      <c r="O72" s="2503"/>
      <c r="P72" s="130">
        <f t="shared" si="0"/>
        <v>67</v>
      </c>
      <c r="Q72" s="130"/>
      <c r="R72" s="130"/>
      <c r="S72"/>
      <c r="AA72"/>
      <c r="BL72" s="488"/>
      <c r="BM72" s="488"/>
      <c r="BN72" s="653"/>
      <c r="BO72" s="488"/>
      <c r="BP72" s="488"/>
      <c r="CB72" s="21"/>
      <c r="CD72" s="667"/>
      <c r="CG72" s="187"/>
      <c r="CH72" s="21"/>
      <c r="CJ72" s="666"/>
      <c r="CK72" s="21"/>
      <c r="CL72" s="22"/>
      <c r="CM72" s="667"/>
      <c r="CP72" s="666"/>
      <c r="CQ72" s="21"/>
      <c r="CS72" s="667"/>
    </row>
    <row r="73" spans="1:97" s="164" customFormat="1" ht="20.100000000000001" customHeight="1" x14ac:dyDescent="0.2">
      <c r="A73" s="2503"/>
      <c r="B73" s="21"/>
      <c r="C73" s="189"/>
      <c r="D73" s="189"/>
      <c r="E73" s="189"/>
      <c r="F73" s="449"/>
      <c r="G73" s="457"/>
      <c r="H73" s="457"/>
      <c r="I73" s="457"/>
      <c r="J73" s="457"/>
      <c r="K73" s="457"/>
      <c r="L73" s="3770"/>
      <c r="M73" s="3852"/>
      <c r="N73" s="3850"/>
      <c r="O73" s="2503"/>
      <c r="P73" s="130">
        <f t="shared" si="0"/>
        <v>68</v>
      </c>
      <c r="Q73" s="130"/>
      <c r="R73" s="130"/>
      <c r="S73"/>
      <c r="BL73" s="488"/>
      <c r="BM73" s="488"/>
      <c r="BN73" s="653"/>
      <c r="BO73" s="488"/>
      <c r="BP73" s="488"/>
      <c r="CB73" s="21"/>
      <c r="CD73" s="667"/>
      <c r="CG73" s="187"/>
      <c r="CH73" s="21"/>
      <c r="CJ73" s="666"/>
      <c r="CK73" s="21"/>
      <c r="CL73" s="22"/>
      <c r="CM73" s="667"/>
      <c r="CP73" s="666"/>
      <c r="CQ73" s="21"/>
      <c r="CS73" s="667"/>
    </row>
    <row r="74" spans="1:97" s="164" customFormat="1" ht="20.100000000000001" customHeight="1" x14ac:dyDescent="0.2">
      <c r="A74" s="2503"/>
      <c r="B74" s="166"/>
      <c r="C74" s="521">
        <v>1</v>
      </c>
      <c r="D74" s="521" t="s">
        <v>637</v>
      </c>
      <c r="E74" s="521"/>
      <c r="F74" s="2518" t="s">
        <v>1048</v>
      </c>
      <c r="G74" s="3828">
        <v>0.08</v>
      </c>
      <c r="H74" s="3828">
        <v>0.08</v>
      </c>
      <c r="I74" s="3828">
        <f>0.11-S74</f>
        <v>0.08</v>
      </c>
      <c r="J74" s="2743">
        <v>0.1</v>
      </c>
      <c r="K74" s="2743">
        <v>0.14000000000000001</v>
      </c>
      <c r="L74" s="3831"/>
      <c r="M74" s="3849">
        <f>Stammdaten!$P$9*100</f>
        <v>7.0000000000000009</v>
      </c>
      <c r="N74" s="2193">
        <f t="shared" si="5"/>
        <v>0.14980000000000002</v>
      </c>
      <c r="O74" s="2503"/>
      <c r="P74" s="130">
        <f t="shared" si="0"/>
        <v>69</v>
      </c>
      <c r="Q74" s="130"/>
      <c r="R74" s="130"/>
      <c r="S74" s="3771">
        <v>0.03</v>
      </c>
      <c r="T74" s="2996">
        <v>4117</v>
      </c>
      <c r="W74" s="2523">
        <v>118</v>
      </c>
      <c r="X74" s="2523"/>
      <c r="Y74" s="2523">
        <f>W74+X74</f>
        <v>118</v>
      </c>
      <c r="Z74" s="2523">
        <v>664</v>
      </c>
      <c r="AA74" s="2523">
        <v>11</v>
      </c>
      <c r="AC74" s="2523">
        <f>(((Z74+AA74)-Y74)/T74)</f>
        <v>0.13529268885110518</v>
      </c>
      <c r="BL74" s="488"/>
      <c r="BM74" s="488"/>
      <c r="BN74" s="653"/>
      <c r="BO74" s="488"/>
      <c r="BP74" s="488"/>
      <c r="CB74" s="21"/>
      <c r="CD74" s="667"/>
      <c r="CG74" s="187"/>
      <c r="CH74" s="21"/>
      <c r="CJ74" s="666"/>
      <c r="CK74" s="21"/>
      <c r="CL74" s="22"/>
      <c r="CM74" s="667"/>
      <c r="CP74" s="666"/>
      <c r="CQ74" s="21"/>
      <c r="CS74" s="667"/>
    </row>
    <row r="75" spans="1:97" s="164" customFormat="1" ht="20.100000000000001" customHeight="1" x14ac:dyDescent="0.2">
      <c r="A75" s="2503"/>
      <c r="B75" s="21"/>
      <c r="C75" s="189">
        <v>2</v>
      </c>
      <c r="D75" s="189" t="s">
        <v>726</v>
      </c>
      <c r="E75" s="189"/>
      <c r="F75" s="515"/>
      <c r="G75" s="3829">
        <f>0.07-S75</f>
        <v>0.05</v>
      </c>
      <c r="H75" s="3829">
        <v>0.05</v>
      </c>
      <c r="I75" s="3829">
        <v>0.05</v>
      </c>
      <c r="J75" s="2744">
        <v>0.08</v>
      </c>
      <c r="K75" s="2744">
        <v>0.11</v>
      </c>
      <c r="L75" s="3826"/>
      <c r="M75" s="3849">
        <f>Stammdaten!$P$9*100</f>
        <v>7.0000000000000009</v>
      </c>
      <c r="N75" s="2193">
        <f t="shared" si="5"/>
        <v>0.1177</v>
      </c>
      <c r="O75" s="2503"/>
      <c r="P75" s="130">
        <f t="shared" ref="P75:P81" si="12">P74+1</f>
        <v>70</v>
      </c>
      <c r="Q75" s="130"/>
      <c r="R75" s="130"/>
      <c r="S75" s="3772">
        <v>0.02</v>
      </c>
      <c r="T75" s="2996">
        <v>4703</v>
      </c>
      <c r="W75" s="2523">
        <v>118</v>
      </c>
      <c r="X75" s="2523"/>
      <c r="Y75" s="2523">
        <f t="shared" ref="Y75:Y81" si="13">W75+X75</f>
        <v>118</v>
      </c>
      <c r="Z75" s="2523">
        <v>633</v>
      </c>
      <c r="AA75" s="2523">
        <v>11</v>
      </c>
      <c r="AC75" s="2523">
        <f t="shared" ref="AC75:AC80" si="14">(((Z75+AA75)-Y75)/T75)</f>
        <v>0.1118435041462896</v>
      </c>
      <c r="BL75" s="488"/>
      <c r="BM75" s="488"/>
      <c r="BN75" s="653"/>
      <c r="BO75" s="488"/>
      <c r="BP75" s="488"/>
      <c r="CB75" s="21"/>
      <c r="CD75" s="667"/>
      <c r="CG75" s="187"/>
      <c r="CH75" s="21"/>
      <c r="CJ75" s="666"/>
      <c r="CK75" s="21"/>
      <c r="CL75" s="22"/>
      <c r="CM75" s="667"/>
      <c r="CP75" s="666"/>
      <c r="CQ75" s="21"/>
      <c r="CS75" s="667"/>
    </row>
    <row r="76" spans="1:97" s="164" customFormat="1" ht="20.100000000000001" customHeight="1" x14ac:dyDescent="0.2">
      <c r="A76" s="2503"/>
      <c r="B76" s="21"/>
      <c r="C76" s="189">
        <v>3</v>
      </c>
      <c r="D76" s="189" t="s">
        <v>727</v>
      </c>
      <c r="E76" s="189"/>
      <c r="F76" s="515"/>
      <c r="G76" s="3829">
        <v>0.02</v>
      </c>
      <c r="H76" s="3829">
        <f>0.05-S76</f>
        <v>2.0000000000000004E-2</v>
      </c>
      <c r="I76" s="3829">
        <f>0.05-S76</f>
        <v>2.0000000000000004E-2</v>
      </c>
      <c r="J76" s="2744">
        <v>0.12</v>
      </c>
      <c r="K76" s="2744">
        <v>0.15</v>
      </c>
      <c r="L76" s="3826"/>
      <c r="M76" s="3849">
        <f>Stammdaten!$P$9*100</f>
        <v>7.0000000000000009</v>
      </c>
      <c r="N76" s="2193">
        <f t="shared" si="5"/>
        <v>0.1605</v>
      </c>
      <c r="O76" s="2503"/>
      <c r="P76" s="130">
        <f t="shared" si="12"/>
        <v>71</v>
      </c>
      <c r="Q76" s="130"/>
      <c r="R76" s="130"/>
      <c r="S76" s="3772">
        <v>0.03</v>
      </c>
      <c r="T76" s="2996">
        <v>3112</v>
      </c>
      <c r="W76" s="2523">
        <v>210</v>
      </c>
      <c r="X76" s="2523"/>
      <c r="Y76" s="2523">
        <f t="shared" si="13"/>
        <v>210</v>
      </c>
      <c r="Z76" s="2523">
        <v>429</v>
      </c>
      <c r="AA76" s="2523">
        <v>7</v>
      </c>
      <c r="AC76" s="2523">
        <f t="shared" si="14"/>
        <v>7.2622107969151667E-2</v>
      </c>
      <c r="BL76" s="488"/>
      <c r="BM76" s="488"/>
      <c r="BN76" s="653"/>
      <c r="BO76" s="488"/>
      <c r="BP76" s="488"/>
      <c r="CB76" s="21"/>
      <c r="CD76" s="667"/>
      <c r="CG76" s="187"/>
      <c r="CH76" s="21"/>
      <c r="CJ76" s="666"/>
      <c r="CK76" s="21"/>
      <c r="CL76" s="22"/>
      <c r="CM76" s="667"/>
      <c r="CP76" s="666"/>
      <c r="CQ76" s="21"/>
      <c r="CS76" s="667"/>
    </row>
    <row r="77" spans="1:97" s="164" customFormat="1" ht="20.100000000000001" customHeight="1" x14ac:dyDescent="0.2">
      <c r="A77" s="2503"/>
      <c r="B77" s="166"/>
      <c r="C77" s="521">
        <v>4</v>
      </c>
      <c r="D77" s="521" t="s">
        <v>728</v>
      </c>
      <c r="E77" s="521"/>
      <c r="F77" s="2518"/>
      <c r="G77" s="3828">
        <v>-7.0000000000000007E-2</v>
      </c>
      <c r="H77" s="3828">
        <v>-7.0000000000000007E-2</v>
      </c>
      <c r="I77" s="3828">
        <v>-7.0000000000000007E-2</v>
      </c>
      <c r="J77" s="2743">
        <v>0.09</v>
      </c>
      <c r="K77" s="2743">
        <v>0.11</v>
      </c>
      <c r="L77" s="3831"/>
      <c r="M77" s="3849">
        <f>Stammdaten!$P$9*100</f>
        <v>7.0000000000000009</v>
      </c>
      <c r="N77" s="2193">
        <f t="shared" si="5"/>
        <v>0.1177</v>
      </c>
      <c r="O77" s="2503"/>
      <c r="P77" s="130">
        <f t="shared" si="12"/>
        <v>72</v>
      </c>
      <c r="Q77" s="130"/>
      <c r="R77" s="130"/>
      <c r="S77" s="3772">
        <v>0.02</v>
      </c>
      <c r="T77" s="2996">
        <v>2439</v>
      </c>
      <c r="W77" s="2523">
        <v>270</v>
      </c>
      <c r="X77" s="2523"/>
      <c r="Y77" s="2523">
        <f t="shared" si="13"/>
        <v>270</v>
      </c>
      <c r="Z77" s="2523">
        <v>287</v>
      </c>
      <c r="AA77" s="2523">
        <v>5</v>
      </c>
      <c r="AC77" s="2523">
        <f t="shared" si="14"/>
        <v>9.0200902009020083E-3</v>
      </c>
      <c r="BL77" s="488"/>
      <c r="BM77" s="488"/>
      <c r="BN77" s="653"/>
      <c r="BO77" s="488"/>
      <c r="BP77" s="488"/>
      <c r="CB77" s="21"/>
      <c r="CD77" s="667"/>
      <c r="CG77" s="187"/>
      <c r="CH77" s="21"/>
      <c r="CJ77" s="666"/>
      <c r="CK77" s="21"/>
      <c r="CL77" s="22"/>
      <c r="CM77" s="667"/>
      <c r="CP77" s="666"/>
      <c r="CQ77" s="21"/>
      <c r="CS77" s="667"/>
    </row>
    <row r="78" spans="1:97" s="164" customFormat="1" ht="20.100000000000001" customHeight="1" x14ac:dyDescent="0.2">
      <c r="A78" s="2503"/>
      <c r="B78" s="21"/>
      <c r="C78" s="189">
        <v>5</v>
      </c>
      <c r="D78" s="189" t="s">
        <v>248</v>
      </c>
      <c r="E78" s="189"/>
      <c r="F78" s="449"/>
      <c r="G78" s="3829">
        <v>-0.01</v>
      </c>
      <c r="H78" s="3829">
        <v>-0.01</v>
      </c>
      <c r="I78" s="3829">
        <v>-0.01</v>
      </c>
      <c r="J78" s="2744">
        <v>0.11</v>
      </c>
      <c r="K78" s="2744">
        <v>0.13</v>
      </c>
      <c r="L78" s="3826"/>
      <c r="M78" s="3849">
        <f>Stammdaten!$P$9*100</f>
        <v>7.0000000000000009</v>
      </c>
      <c r="N78" s="2193">
        <f t="shared" si="5"/>
        <v>0.1391</v>
      </c>
      <c r="O78" s="2503"/>
      <c r="P78" s="130">
        <f t="shared" si="12"/>
        <v>73</v>
      </c>
      <c r="Q78" s="130"/>
      <c r="R78" s="130"/>
      <c r="S78" s="3772">
        <v>0.02</v>
      </c>
      <c r="T78" s="2996">
        <v>4457</v>
      </c>
      <c r="W78" s="2523">
        <v>118</v>
      </c>
      <c r="X78" s="2523"/>
      <c r="Y78" s="2523">
        <f t="shared" si="13"/>
        <v>118</v>
      </c>
      <c r="Z78" s="2523">
        <v>552</v>
      </c>
      <c r="AA78" s="2523">
        <v>9</v>
      </c>
      <c r="AC78" s="2523">
        <f t="shared" si="14"/>
        <v>9.9394211352927975E-2</v>
      </c>
      <c r="BL78" s="488"/>
      <c r="BM78" s="488"/>
      <c r="BN78" s="653"/>
      <c r="BO78" s="488"/>
      <c r="BP78" s="488"/>
      <c r="CB78" s="21"/>
      <c r="CD78" s="667"/>
      <c r="CG78" s="187"/>
      <c r="CH78" s="21"/>
      <c r="CJ78" s="666"/>
      <c r="CK78" s="21"/>
      <c r="CL78" s="22"/>
      <c r="CM78" s="667"/>
      <c r="CP78" s="666"/>
      <c r="CQ78" s="21"/>
      <c r="CS78" s="667"/>
    </row>
    <row r="79" spans="1:97" s="164" customFormat="1" ht="20.100000000000001" customHeight="1" x14ac:dyDescent="0.2">
      <c r="A79" s="2503"/>
      <c r="B79" s="166"/>
      <c r="C79" s="521">
        <v>6</v>
      </c>
      <c r="D79" s="521" t="s">
        <v>511</v>
      </c>
      <c r="E79" s="521"/>
      <c r="F79" s="728"/>
      <c r="G79" s="3828">
        <v>0.06</v>
      </c>
      <c r="H79" s="3828">
        <v>0.06</v>
      </c>
      <c r="I79" s="3828">
        <v>0.06</v>
      </c>
      <c r="J79" s="2743">
        <v>0.08</v>
      </c>
      <c r="K79" s="2743">
        <v>0.11</v>
      </c>
      <c r="L79" s="3831"/>
      <c r="M79" s="3849">
        <f>Stammdaten!$P$9*100</f>
        <v>7.0000000000000009</v>
      </c>
      <c r="N79" s="2193">
        <f t="shared" si="5"/>
        <v>0.1177</v>
      </c>
      <c r="O79" s="2503"/>
      <c r="P79" s="130">
        <f t="shared" si="12"/>
        <v>74</v>
      </c>
      <c r="Q79" s="130"/>
      <c r="R79" s="130"/>
      <c r="S79" s="3772">
        <v>0.02</v>
      </c>
      <c r="T79" s="2996">
        <v>5765</v>
      </c>
      <c r="W79" s="2523">
        <v>68</v>
      </c>
      <c r="X79" s="2523"/>
      <c r="Y79" s="2523">
        <f t="shared" si="13"/>
        <v>68</v>
      </c>
      <c r="Z79" s="2523">
        <v>677</v>
      </c>
      <c r="AA79" s="2523">
        <v>11</v>
      </c>
      <c r="AC79" s="2523">
        <f t="shared" si="14"/>
        <v>0.10754553339115351</v>
      </c>
      <c r="BL79" s="488"/>
      <c r="BM79" s="488"/>
      <c r="BN79" s="653"/>
      <c r="BO79" s="488"/>
      <c r="BP79" s="488"/>
      <c r="CB79" s="21"/>
      <c r="CD79" s="667"/>
      <c r="CG79" s="187"/>
      <c r="CH79" s="21"/>
      <c r="CJ79" s="666"/>
      <c r="CK79" s="21"/>
      <c r="CL79" s="22"/>
      <c r="CM79" s="667"/>
      <c r="CP79" s="666"/>
      <c r="CQ79" s="21"/>
      <c r="CS79" s="667"/>
    </row>
    <row r="80" spans="1:97" s="164" customFormat="1" ht="20.100000000000001" customHeight="1" x14ac:dyDescent="0.2">
      <c r="A80" s="2503"/>
      <c r="B80" s="21"/>
      <c r="C80" s="189">
        <v>7</v>
      </c>
      <c r="D80" s="189" t="s">
        <v>1049</v>
      </c>
      <c r="E80" s="189"/>
      <c r="F80" s="449"/>
      <c r="G80" s="3829">
        <v>0.09</v>
      </c>
      <c r="H80" s="3829">
        <v>0.09</v>
      </c>
      <c r="I80" s="3829">
        <v>0.09</v>
      </c>
      <c r="J80" s="2744">
        <v>0.15</v>
      </c>
      <c r="K80" s="2744">
        <v>0.15</v>
      </c>
      <c r="L80" s="3826"/>
      <c r="M80" s="3849">
        <f>Stammdaten!$P$9*100</f>
        <v>7.0000000000000009</v>
      </c>
      <c r="N80" s="2193">
        <f t="shared" si="5"/>
        <v>0.1605</v>
      </c>
      <c r="O80" s="2503"/>
      <c r="P80" s="130">
        <f t="shared" si="12"/>
        <v>75</v>
      </c>
      <c r="Q80" s="130"/>
      <c r="R80" s="130"/>
      <c r="S80" s="3772">
        <v>0.02</v>
      </c>
      <c r="T80" s="2996">
        <v>7385</v>
      </c>
      <c r="W80" s="2523">
        <v>1E-3</v>
      </c>
      <c r="X80" s="2523"/>
      <c r="Y80" s="2523">
        <f t="shared" si="13"/>
        <v>1E-3</v>
      </c>
      <c r="Z80" s="2523">
        <v>1254</v>
      </c>
      <c r="AA80" s="2523">
        <v>21</v>
      </c>
      <c r="AC80" s="2523">
        <f t="shared" si="14"/>
        <v>0.17264712254570075</v>
      </c>
      <c r="BL80" s="488"/>
      <c r="BM80" s="488"/>
      <c r="BN80" s="653"/>
      <c r="BO80" s="488"/>
      <c r="BP80" s="488"/>
      <c r="CB80" s="21"/>
      <c r="CD80" s="667"/>
      <c r="CG80" s="187"/>
      <c r="CH80" s="21"/>
      <c r="CJ80" s="666"/>
      <c r="CK80" s="21"/>
      <c r="CL80" s="22"/>
      <c r="CM80" s="667"/>
      <c r="CP80" s="666"/>
      <c r="CQ80" s="21"/>
      <c r="CS80" s="667"/>
    </row>
    <row r="81" spans="1:97" s="164" customFormat="1" ht="20.100000000000001" customHeight="1" x14ac:dyDescent="0.2">
      <c r="A81" s="2503"/>
      <c r="B81" s="23"/>
      <c r="C81" s="190">
        <v>8</v>
      </c>
      <c r="D81" s="261" t="s">
        <v>1534</v>
      </c>
      <c r="E81" s="190"/>
      <c r="F81" s="2521"/>
      <c r="G81" s="3830">
        <f>0.12-S81</f>
        <v>9.9999999999999992E-2</v>
      </c>
      <c r="H81" s="3830">
        <f>0.12-S81</f>
        <v>9.9999999999999992E-2</v>
      </c>
      <c r="I81" s="3830">
        <f>0.12-S81</f>
        <v>9.9999999999999992E-2</v>
      </c>
      <c r="J81" s="261">
        <v>0.11</v>
      </c>
      <c r="K81" s="261">
        <v>0.13</v>
      </c>
      <c r="L81" s="3832"/>
      <c r="M81" s="3854">
        <f>Stammdaten!$P$9*100</f>
        <v>7.0000000000000009</v>
      </c>
      <c r="N81" s="2552">
        <f t="shared" si="5"/>
        <v>0.1391</v>
      </c>
      <c r="O81" s="2503"/>
      <c r="P81" s="130">
        <f t="shared" si="12"/>
        <v>76</v>
      </c>
      <c r="Q81" s="130"/>
      <c r="R81" s="130"/>
      <c r="S81" s="3773">
        <v>0.02</v>
      </c>
      <c r="T81" s="2996">
        <v>1</v>
      </c>
      <c r="W81" s="2523"/>
      <c r="X81" s="2523"/>
      <c r="Y81" s="2523">
        <f t="shared" si="13"/>
        <v>0</v>
      </c>
      <c r="Z81" s="2523"/>
      <c r="AA81" s="2523"/>
      <c r="AC81" s="2523">
        <f>(((Z81+AA81)-Y81)/T81)*100</f>
        <v>0</v>
      </c>
      <c r="AI81" s="1635"/>
      <c r="BK81" s="488"/>
      <c r="BL81" s="488"/>
      <c r="BM81" s="488"/>
      <c r="BN81" s="488"/>
      <c r="BO81" s="278"/>
      <c r="BP81" s="278"/>
      <c r="CB81" s="21"/>
      <c r="CD81" s="667"/>
      <c r="CG81" s="187"/>
      <c r="CH81" s="21"/>
      <c r="CJ81" s="666"/>
      <c r="CK81" s="21"/>
      <c r="CL81" s="22"/>
      <c r="CM81" s="667"/>
      <c r="CP81" s="666"/>
      <c r="CQ81" s="21"/>
      <c r="CS81" s="667"/>
    </row>
    <row r="82" spans="1:97" ht="14.25" x14ac:dyDescent="0.2">
      <c r="A82" s="2503"/>
      <c r="B82" s="170"/>
      <c r="C82" s="3045" t="s">
        <v>1498</v>
      </c>
      <c r="D82" s="170"/>
      <c r="E82" s="170"/>
      <c r="F82" s="488"/>
      <c r="G82" s="170"/>
      <c r="H82" s="170"/>
      <c r="I82" s="170"/>
      <c r="J82" s="170"/>
      <c r="K82" s="170"/>
      <c r="L82" s="170"/>
      <c r="M82" s="170"/>
      <c r="N82" s="170"/>
      <c r="O82" s="2503"/>
      <c r="AE82" s="170">
        <v>70</v>
      </c>
      <c r="AF82" s="170">
        <v>100</v>
      </c>
      <c r="AG82" s="164">
        <f>(AE82+AF82)/2</f>
        <v>85</v>
      </c>
      <c r="AH82" s="170">
        <v>20</v>
      </c>
      <c r="AI82" s="1635">
        <f>AG82/AH82</f>
        <v>4.25</v>
      </c>
      <c r="BK82" s="647" t="s">
        <v>204</v>
      </c>
      <c r="BL82" s="648"/>
      <c r="BM82" s="649">
        <f>(BM50+BM51+BM52)/(BM59+BM60+BM62)</f>
        <v>0.57611940298507458</v>
      </c>
      <c r="BN82" s="648"/>
      <c r="BO82" s="650"/>
      <c r="BP82" s="651">
        <f>(BP50+BP51+BP52)/(BP59+BP60+BP62)</f>
        <v>0.59766763848396498</v>
      </c>
      <c r="CA82" s="672">
        <v>36925</v>
      </c>
      <c r="CB82" s="21"/>
      <c r="CC82" s="164"/>
      <c r="CD82" s="667">
        <f>CB82*CC82</f>
        <v>0</v>
      </c>
      <c r="CE82" s="164">
        <v>2</v>
      </c>
      <c r="CF82" s="164">
        <v>1975</v>
      </c>
      <c r="CG82" s="187">
        <f>CE82*CF82</f>
        <v>3950</v>
      </c>
      <c r="CH82" s="21"/>
      <c r="CI82" s="164"/>
      <c r="CJ82" s="666">
        <f>CH82*CI82</f>
        <v>0</v>
      </c>
      <c r="CK82" s="21"/>
      <c r="CL82" s="22"/>
      <c r="CM82" s="667">
        <f>CK82*CL82</f>
        <v>0</v>
      </c>
      <c r="CN82" s="164">
        <v>20</v>
      </c>
      <c r="CO82" s="164">
        <v>2045</v>
      </c>
      <c r="CP82" s="666">
        <f>CN82*CO82</f>
        <v>40900</v>
      </c>
      <c r="CQ82" s="21"/>
      <c r="CR82" s="164"/>
      <c r="CS82" s="667">
        <f>CQ82*CR82</f>
        <v>0</v>
      </c>
    </row>
    <row r="83" spans="1:97" ht="13.15" customHeight="1" x14ac:dyDescent="0.2">
      <c r="A83" s="2503"/>
      <c r="B83" s="170"/>
      <c r="C83" s="3802" t="s">
        <v>1499</v>
      </c>
      <c r="D83" s="170"/>
      <c r="E83" s="170"/>
      <c r="F83" s="488"/>
      <c r="G83" s="170"/>
      <c r="H83" s="170"/>
      <c r="I83" s="170"/>
      <c r="J83" s="170"/>
      <c r="K83" s="170"/>
      <c r="L83" s="170"/>
      <c r="M83" s="170"/>
      <c r="N83" s="170"/>
      <c r="O83" s="2503"/>
      <c r="AE83" s="164">
        <v>90</v>
      </c>
      <c r="AF83" s="164">
        <v>140</v>
      </c>
      <c r="AG83" s="164">
        <f>(AE83+AF83)/2</f>
        <v>115</v>
      </c>
      <c r="AH83" s="170">
        <v>30</v>
      </c>
      <c r="AI83" s="1635">
        <f>AG83/AH83</f>
        <v>3.8333333333333335</v>
      </c>
      <c r="CA83" s="164"/>
      <c r="CB83" s="21"/>
      <c r="CC83" s="164"/>
      <c r="CD83" s="667">
        <f>CB83*CC83</f>
        <v>0</v>
      </c>
      <c r="CE83" s="164"/>
      <c r="CF83" s="164"/>
      <c r="CG83" s="187">
        <f>CE83*CF83</f>
        <v>0</v>
      </c>
      <c r="CH83" s="21"/>
      <c r="CI83" s="164"/>
      <c r="CJ83" s="666">
        <f>CH83*CI83</f>
        <v>0</v>
      </c>
      <c r="CK83" s="21"/>
      <c r="CL83" s="22"/>
      <c r="CM83" s="667">
        <f>CK83*CL83</f>
        <v>0</v>
      </c>
      <c r="CN83" s="164"/>
      <c r="CO83" s="164"/>
      <c r="CP83" s="666">
        <f>CN83*CO83</f>
        <v>0</v>
      </c>
      <c r="CQ83" s="21"/>
      <c r="CR83" s="164"/>
      <c r="CS83" s="667">
        <f>CQ83*CR83</f>
        <v>0</v>
      </c>
    </row>
    <row r="84" spans="1:97" ht="13.15" customHeight="1" x14ac:dyDescent="0.2">
      <c r="A84" s="2503"/>
      <c r="B84" s="170"/>
      <c r="C84" s="2826" t="s">
        <v>1502</v>
      </c>
      <c r="D84" s="170"/>
      <c r="E84" s="170"/>
      <c r="F84" s="488"/>
      <c r="G84" s="170"/>
      <c r="H84" s="170"/>
      <c r="I84" s="170"/>
      <c r="J84" s="170"/>
      <c r="K84" s="170"/>
      <c r="L84" s="170"/>
      <c r="M84" s="170"/>
      <c r="N84" s="170"/>
      <c r="O84" s="2503"/>
      <c r="AE84" s="164"/>
      <c r="AF84" s="164"/>
      <c r="AG84" s="164"/>
      <c r="AI84" s="1635"/>
      <c r="CA84" s="164"/>
      <c r="CB84" s="21"/>
      <c r="CC84" s="164"/>
      <c r="CD84" s="667"/>
      <c r="CE84" s="164"/>
      <c r="CF84" s="164"/>
      <c r="CG84" s="187"/>
      <c r="CH84" s="21"/>
      <c r="CI84" s="164"/>
      <c r="CJ84" s="666"/>
      <c r="CK84" s="21"/>
      <c r="CL84" s="22"/>
      <c r="CM84" s="667"/>
      <c r="CN84" s="164"/>
      <c r="CO84" s="164"/>
      <c r="CP84" s="666"/>
      <c r="CQ84" s="21"/>
      <c r="CR84" s="164"/>
      <c r="CS84" s="667"/>
    </row>
    <row r="85" spans="1:97" ht="13.15" customHeight="1" x14ac:dyDescent="0.2">
      <c r="A85" s="2503"/>
      <c r="B85" s="170"/>
      <c r="C85" s="2826" t="s">
        <v>1501</v>
      </c>
      <c r="D85" s="170"/>
      <c r="E85" s="170"/>
      <c r="F85" s="488"/>
      <c r="G85" s="170"/>
      <c r="H85" s="170"/>
      <c r="I85" s="170"/>
      <c r="J85" s="170"/>
      <c r="K85" s="170"/>
      <c r="L85" s="170"/>
      <c r="M85" s="170"/>
      <c r="N85" s="170"/>
      <c r="O85" s="2503"/>
      <c r="AE85" s="164"/>
      <c r="AF85" s="164"/>
      <c r="AG85" s="164"/>
      <c r="AI85" s="1635"/>
      <c r="CA85" s="164"/>
      <c r="CB85" s="21"/>
      <c r="CC85" s="164"/>
      <c r="CD85" s="667"/>
      <c r="CE85" s="164"/>
      <c r="CF85" s="164"/>
      <c r="CG85" s="187"/>
      <c r="CH85" s="21"/>
      <c r="CI85" s="164"/>
      <c r="CJ85" s="666"/>
      <c r="CK85" s="21"/>
      <c r="CL85" s="22"/>
      <c r="CM85" s="667"/>
      <c r="CN85" s="164"/>
      <c r="CO85" s="164"/>
      <c r="CP85" s="666"/>
      <c r="CQ85" s="21"/>
      <c r="CR85" s="164"/>
      <c r="CS85" s="667"/>
    </row>
    <row r="86" spans="1:97" ht="13.15" customHeight="1" x14ac:dyDescent="0.2">
      <c r="A86" s="2503"/>
      <c r="B86" s="170"/>
      <c r="C86" s="2826" t="s">
        <v>1500</v>
      </c>
      <c r="D86" s="170"/>
      <c r="E86" s="170"/>
      <c r="F86" s="488"/>
      <c r="G86" s="170"/>
      <c r="H86" s="170"/>
      <c r="I86" s="170"/>
      <c r="J86" s="170"/>
      <c r="K86" s="170"/>
      <c r="L86" s="170"/>
      <c r="M86" s="170"/>
      <c r="N86" s="170"/>
      <c r="O86" s="2503"/>
      <c r="AE86" s="164"/>
      <c r="AF86" s="164"/>
      <c r="AG86" s="164"/>
      <c r="AI86" s="1635"/>
      <c r="CA86" s="164"/>
      <c r="CB86" s="21"/>
      <c r="CC86" s="164"/>
      <c r="CD86" s="667"/>
      <c r="CE86" s="164"/>
      <c r="CF86" s="164"/>
      <c r="CG86" s="187"/>
      <c r="CH86" s="21"/>
      <c r="CI86" s="164"/>
      <c r="CJ86" s="666"/>
      <c r="CK86" s="21"/>
      <c r="CL86" s="22"/>
      <c r="CM86" s="667"/>
      <c r="CN86" s="164"/>
      <c r="CO86" s="164"/>
      <c r="CP86" s="666"/>
      <c r="CQ86" s="21"/>
      <c r="CR86" s="164"/>
      <c r="CS86" s="667"/>
    </row>
    <row r="87" spans="1:97" ht="14.25" x14ac:dyDescent="0.2">
      <c r="A87" s="2503"/>
      <c r="B87" s="2503"/>
      <c r="C87" s="2503"/>
      <c r="D87" s="2503"/>
      <c r="E87" s="2503"/>
      <c r="F87" s="2503"/>
      <c r="G87" s="2503"/>
      <c r="H87" s="2503"/>
      <c r="I87" s="2503"/>
      <c r="J87" s="2503"/>
      <c r="K87" s="2503"/>
      <c r="L87" s="2503"/>
      <c r="M87" s="2503"/>
      <c r="N87" s="2503"/>
      <c r="O87" s="2503"/>
      <c r="AE87" s="164">
        <v>100</v>
      </c>
      <c r="AF87" s="164">
        <v>170</v>
      </c>
      <c r="AG87" s="164">
        <f>(AE87+AF87)/2</f>
        <v>135</v>
      </c>
      <c r="AH87" s="164">
        <v>40</v>
      </c>
      <c r="AI87" s="1635">
        <f>AG87/AH87</f>
        <v>3.375</v>
      </c>
      <c r="CA87" s="164"/>
      <c r="CB87" s="21"/>
      <c r="CC87" s="164"/>
      <c r="CD87" s="667">
        <f>CB87*CC87</f>
        <v>0</v>
      </c>
      <c r="CE87" s="164"/>
      <c r="CF87" s="164"/>
      <c r="CG87" s="187">
        <f>CE87*CF87</f>
        <v>0</v>
      </c>
      <c r="CH87" s="21"/>
      <c r="CI87" s="164"/>
      <c r="CJ87" s="666">
        <f>CH87*CI87</f>
        <v>0</v>
      </c>
      <c r="CK87" s="21"/>
      <c r="CL87" s="22"/>
      <c r="CM87" s="667">
        <f>CK87*CL87</f>
        <v>0</v>
      </c>
      <c r="CN87" s="164"/>
      <c r="CO87" s="164"/>
      <c r="CP87" s="666">
        <f>CN87*CO87</f>
        <v>0</v>
      </c>
      <c r="CQ87" s="21"/>
      <c r="CR87" s="164"/>
      <c r="CS87" s="667">
        <f>CQ87*CR87</f>
        <v>0</v>
      </c>
    </row>
    <row r="88" spans="1:97" ht="15" x14ac:dyDescent="0.2">
      <c r="A88" s="170"/>
      <c r="B88" s="170"/>
      <c r="D88" s="170"/>
      <c r="E88" s="170"/>
      <c r="F88" s="488"/>
      <c r="G88" s="170"/>
      <c r="H88" s="170"/>
      <c r="I88" s="170"/>
      <c r="J88" s="170"/>
      <c r="K88" s="170"/>
      <c r="L88" s="170"/>
      <c r="M88" s="170"/>
      <c r="N88" s="170"/>
      <c r="AI88" s="1636">
        <f>AVERAGE(AI81:AI87)</f>
        <v>3.8194444444444446</v>
      </c>
      <c r="BK88" s="489" t="s">
        <v>202</v>
      </c>
      <c r="BL88" s="489">
        <v>66</v>
      </c>
      <c r="BM88" s="489">
        <v>3.42</v>
      </c>
      <c r="BO88" s="488"/>
      <c r="BP88" s="488"/>
      <c r="CA88" s="672">
        <v>36918</v>
      </c>
      <c r="CB88" s="21"/>
      <c r="CC88" s="164"/>
      <c r="CD88" s="667">
        <f>CB88*CC88</f>
        <v>0</v>
      </c>
      <c r="CE88" s="164"/>
      <c r="CF88" s="164"/>
      <c r="CG88" s="187">
        <f>CE88*CF88</f>
        <v>0</v>
      </c>
      <c r="CH88" s="21"/>
      <c r="CI88" s="164"/>
      <c r="CJ88" s="666">
        <f>CH88*CI88</f>
        <v>0</v>
      </c>
      <c r="CK88" s="21">
        <v>31</v>
      </c>
      <c r="CL88" s="22">
        <v>1963</v>
      </c>
      <c r="CM88" s="667">
        <f>CK88*CL88</f>
        <v>60853</v>
      </c>
      <c r="CN88" s="164">
        <v>50</v>
      </c>
      <c r="CO88" s="164">
        <v>2184</v>
      </c>
      <c r="CP88" s="666">
        <f>CN88*CO88</f>
        <v>109200</v>
      </c>
      <c r="CQ88" s="21"/>
      <c r="CR88" s="164"/>
      <c r="CS88" s="667">
        <f>CQ88*CR88</f>
        <v>0</v>
      </c>
    </row>
    <row r="89" spans="1:97" ht="14.25" x14ac:dyDescent="0.2">
      <c r="A89" s="170"/>
      <c r="B89" s="170"/>
      <c r="C89" s="170"/>
      <c r="D89" s="170"/>
      <c r="E89" s="170"/>
      <c r="F89" s="488"/>
      <c r="G89" s="170"/>
      <c r="H89" s="170"/>
      <c r="I89" s="170"/>
      <c r="J89" s="170"/>
      <c r="K89" s="170"/>
      <c r="L89" s="170"/>
      <c r="M89" s="170"/>
      <c r="N89" s="170"/>
      <c r="BO89" s="488"/>
      <c r="BP89" s="488"/>
      <c r="CA89" s="164"/>
      <c r="CB89" s="665">
        <f t="shared" ref="CB89:CH89" si="15">SUM(CB29:CB88)</f>
        <v>13</v>
      </c>
      <c r="CC89" s="187">
        <f t="shared" si="15"/>
        <v>3806</v>
      </c>
      <c r="CD89" s="187">
        <f t="shared" si="15"/>
        <v>25189</v>
      </c>
      <c r="CE89" s="665">
        <f t="shared" si="15"/>
        <v>4</v>
      </c>
      <c r="CF89" s="187">
        <f t="shared" si="15"/>
        <v>4075</v>
      </c>
      <c r="CG89" s="187">
        <f t="shared" si="15"/>
        <v>8150</v>
      </c>
      <c r="CH89" s="21">
        <f t="shared" si="15"/>
        <v>13</v>
      </c>
      <c r="CI89" s="164"/>
      <c r="CJ89" s="164">
        <f>SUM(CJ29:CJ88)</f>
        <v>19353</v>
      </c>
      <c r="CK89" s="21">
        <f>SUM(CK29:CK88)</f>
        <v>108</v>
      </c>
      <c r="CL89" s="164"/>
      <c r="CM89" s="164">
        <f t="shared" ref="CM89:CS89" si="16">SUM(CM29:CM88)</f>
        <v>228258</v>
      </c>
      <c r="CN89" s="21">
        <f t="shared" si="16"/>
        <v>139</v>
      </c>
      <c r="CO89" s="164"/>
      <c r="CP89" s="164">
        <f t="shared" si="16"/>
        <v>320189</v>
      </c>
      <c r="CQ89" s="21">
        <f t="shared" si="16"/>
        <v>501</v>
      </c>
      <c r="CR89" s="164"/>
      <c r="CS89" s="676">
        <f t="shared" si="16"/>
        <v>1092269</v>
      </c>
    </row>
    <row r="90" spans="1:97" ht="18.75" x14ac:dyDescent="0.2">
      <c r="A90" s="170"/>
      <c r="B90" s="170"/>
      <c r="D90" s="170"/>
      <c r="E90" s="170"/>
      <c r="F90" s="488"/>
      <c r="G90" s="170"/>
      <c r="H90" s="170"/>
      <c r="I90" s="170"/>
      <c r="J90" s="170"/>
      <c r="K90" s="170"/>
      <c r="L90" s="170"/>
      <c r="M90" s="170"/>
      <c r="N90" s="170"/>
      <c r="BI90" s="646"/>
      <c r="BJ90" s="646"/>
      <c r="BK90" s="489" t="s">
        <v>202</v>
      </c>
      <c r="BL90" s="488">
        <v>67.400000000000006</v>
      </c>
      <c r="BM90" s="488">
        <v>3.1</v>
      </c>
      <c r="BO90" s="488">
        <v>58.2</v>
      </c>
      <c r="BP90" s="488">
        <v>2</v>
      </c>
      <c r="CA90" s="164"/>
      <c r="CB90" s="21"/>
      <c r="CC90" s="164"/>
      <c r="CD90" s="677">
        <f>CD89/CB89</f>
        <v>1937.6153846153845</v>
      </c>
      <c r="CE90" s="21"/>
      <c r="CF90" s="164"/>
      <c r="CG90" s="677">
        <f>CG89/CE89</f>
        <v>2037.5</v>
      </c>
      <c r="CH90" s="21"/>
      <c r="CI90" s="164"/>
      <c r="CJ90" s="677">
        <f>CJ89/CH89</f>
        <v>1488.6923076923076</v>
      </c>
      <c r="CK90" s="21"/>
      <c r="CL90" s="164"/>
      <c r="CM90" s="675">
        <f>CM89/CK89</f>
        <v>2113.5</v>
      </c>
      <c r="CN90" s="21"/>
      <c r="CO90" s="164"/>
      <c r="CP90" s="675">
        <f>CP89/CN89</f>
        <v>2303.517985611511</v>
      </c>
      <c r="CQ90" s="21"/>
      <c r="CR90" s="164"/>
      <c r="CS90" s="678">
        <f>CS89/CQ89</f>
        <v>2180.177644710579</v>
      </c>
    </row>
    <row r="91" spans="1:97" ht="24" customHeight="1" x14ac:dyDescent="0.3">
      <c r="A91" s="170"/>
      <c r="B91" s="170"/>
      <c r="C91" s="2645" t="s">
        <v>738</v>
      </c>
      <c r="D91" s="170"/>
      <c r="E91" s="170"/>
      <c r="F91" s="488"/>
      <c r="G91" s="170"/>
      <c r="H91" s="170"/>
      <c r="I91" s="170"/>
      <c r="J91" s="170"/>
      <c r="K91" s="170"/>
      <c r="L91" s="170"/>
      <c r="M91" s="170"/>
      <c r="N91" s="170"/>
      <c r="BK91" s="489" t="s">
        <v>202</v>
      </c>
      <c r="BL91" s="488">
        <v>65.099999999999994</v>
      </c>
      <c r="BM91" s="488">
        <v>3.53</v>
      </c>
      <c r="BO91" s="488"/>
      <c r="BP91" s="488"/>
    </row>
    <row r="92" spans="1:97" ht="26.45" customHeight="1" x14ac:dyDescent="0.2">
      <c r="A92" s="170"/>
      <c r="B92" s="170"/>
      <c r="C92" s="191" t="s">
        <v>303</v>
      </c>
      <c r="D92" s="193"/>
      <c r="E92" s="1704"/>
      <c r="F92" s="2641">
        <v>16</v>
      </c>
      <c r="G92" s="193" t="s">
        <v>304</v>
      </c>
      <c r="H92" s="1707"/>
      <c r="I92" s="164" t="s">
        <v>114</v>
      </c>
      <c r="J92" s="164"/>
      <c r="K92" s="164"/>
      <c r="L92" s="164"/>
      <c r="M92" s="164"/>
      <c r="N92" s="164"/>
      <c r="O92" s="164"/>
    </row>
    <row r="93" spans="1:97" ht="26.45" customHeight="1" x14ac:dyDescent="0.2">
      <c r="A93" s="170"/>
      <c r="B93" s="170"/>
      <c r="C93" s="188" t="s">
        <v>308</v>
      </c>
      <c r="D93" s="22"/>
      <c r="F93" s="2640">
        <v>6.5</v>
      </c>
      <c r="G93" s="22" t="s">
        <v>305</v>
      </c>
      <c r="H93" s="676"/>
      <c r="I93" s="676" t="s">
        <v>316</v>
      </c>
      <c r="J93" s="164"/>
      <c r="K93" s="164"/>
      <c r="L93" s="164"/>
      <c r="M93" s="164"/>
      <c r="N93" s="164"/>
      <c r="O93" s="164"/>
      <c r="AC93" s="170" t="s">
        <v>1212</v>
      </c>
    </row>
    <row r="94" spans="1:97" ht="26.45" customHeight="1" x14ac:dyDescent="0.2">
      <c r="A94" s="170"/>
      <c r="B94" s="170"/>
      <c r="C94" s="21"/>
      <c r="D94" s="22"/>
      <c r="F94" s="2640">
        <v>7.8</v>
      </c>
      <c r="G94" s="22" t="s">
        <v>306</v>
      </c>
      <c r="H94" s="676"/>
      <c r="I94" s="164" t="s">
        <v>1539</v>
      </c>
      <c r="J94" s="164"/>
      <c r="K94" s="164"/>
      <c r="L94" s="164"/>
      <c r="M94" s="164"/>
      <c r="N94" s="164"/>
      <c r="O94" s="164"/>
      <c r="Y94" s="170">
        <v>2006</v>
      </c>
      <c r="Z94" s="170">
        <v>2007</v>
      </c>
      <c r="AA94" s="170">
        <v>2008</v>
      </c>
      <c r="AB94" s="170">
        <v>2009</v>
      </c>
      <c r="AC94" s="170">
        <v>2010</v>
      </c>
    </row>
    <row r="95" spans="1:97" ht="26.45" customHeight="1" x14ac:dyDescent="0.2">
      <c r="A95" s="170"/>
      <c r="B95" s="170"/>
      <c r="C95" s="21"/>
      <c r="D95" s="22"/>
      <c r="F95" s="2640">
        <v>1.2</v>
      </c>
      <c r="G95" s="22" t="s">
        <v>307</v>
      </c>
      <c r="H95" s="676"/>
      <c r="I95" s="164" t="s">
        <v>1541</v>
      </c>
      <c r="J95" s="164"/>
      <c r="K95" s="164"/>
      <c r="L95" s="164"/>
      <c r="M95" s="164"/>
      <c r="N95" s="164"/>
      <c r="O95" s="164"/>
      <c r="Y95" s="170">
        <v>142.1</v>
      </c>
      <c r="Z95" s="170">
        <v>147.80000000000001</v>
      </c>
      <c r="AA95" s="170">
        <v>174.8</v>
      </c>
      <c r="AB95" s="170">
        <v>138.4</v>
      </c>
      <c r="AC95" s="170">
        <v>155</v>
      </c>
    </row>
    <row r="96" spans="1:97" ht="26.45" customHeight="1" x14ac:dyDescent="0.2">
      <c r="A96" s="170"/>
      <c r="B96" s="170"/>
      <c r="C96" s="23"/>
      <c r="D96" s="24"/>
      <c r="F96" s="2642">
        <f>F93+F94*F95</f>
        <v>15.86</v>
      </c>
      <c r="G96" s="422" t="s">
        <v>309</v>
      </c>
      <c r="H96" s="2578"/>
      <c r="I96" s="164"/>
      <c r="J96" s="164"/>
      <c r="K96" s="164"/>
      <c r="L96" s="164"/>
      <c r="M96" s="164"/>
      <c r="N96" s="164"/>
      <c r="O96" s="164"/>
      <c r="BK96" s="647" t="s">
        <v>208</v>
      </c>
      <c r="BM96" s="649">
        <f>(BM91+BM90+BM88)/(BM50+BM51+BM52)</f>
        <v>0.86787564766839387</v>
      </c>
    </row>
    <row r="97" spans="1:68" ht="26.45" customHeight="1" x14ac:dyDescent="0.2">
      <c r="A97" s="170"/>
      <c r="B97" s="170"/>
      <c r="C97" s="191" t="s">
        <v>115</v>
      </c>
      <c r="D97" s="193"/>
      <c r="E97" s="1704"/>
      <c r="F97" s="2643">
        <f>F96/F92</f>
        <v>0.99124999999999996</v>
      </c>
      <c r="G97" s="2639"/>
      <c r="H97" s="1707"/>
      <c r="I97" s="164" t="s">
        <v>311</v>
      </c>
      <c r="J97" s="164"/>
      <c r="K97" s="164"/>
      <c r="L97" s="164"/>
      <c r="M97" s="164"/>
      <c r="N97" s="164"/>
      <c r="O97" s="164"/>
    </row>
    <row r="98" spans="1:68" ht="26.45" customHeight="1" x14ac:dyDescent="0.2">
      <c r="A98" s="170"/>
      <c r="B98" s="170"/>
      <c r="C98" s="293" t="s">
        <v>310</v>
      </c>
      <c r="D98" s="223"/>
      <c r="E98" s="113"/>
      <c r="F98" s="2644">
        <v>0.93</v>
      </c>
      <c r="G98" s="164" t="s">
        <v>311</v>
      </c>
      <c r="H98" s="2577"/>
      <c r="I98" s="21" t="s">
        <v>1540</v>
      </c>
      <c r="J98" s="164"/>
      <c r="K98" s="164"/>
      <c r="L98" s="164"/>
      <c r="M98" s="164"/>
      <c r="N98" s="164"/>
      <c r="O98" s="164"/>
      <c r="BK98" s="647"/>
    </row>
    <row r="99" spans="1:68" ht="26.45" customHeight="1" x14ac:dyDescent="0.2">
      <c r="A99" s="170"/>
      <c r="B99" s="170"/>
      <c r="C99" s="2646" t="s">
        <v>999</v>
      </c>
      <c r="D99" s="2647"/>
      <c r="E99" s="2648"/>
      <c r="F99" s="2649">
        <f>F97+F98</f>
        <v>1.9212500000000001</v>
      </c>
      <c r="G99" s="2647" t="s">
        <v>311</v>
      </c>
      <c r="H99" s="2650"/>
      <c r="I99" s="164"/>
      <c r="J99" s="164"/>
      <c r="K99" s="164"/>
      <c r="L99" s="164"/>
      <c r="M99" s="164"/>
      <c r="N99" s="164"/>
      <c r="O99" s="164"/>
    </row>
    <row r="100" spans="1:68" x14ac:dyDescent="0.2">
      <c r="A100" s="170"/>
      <c r="B100" s="170"/>
      <c r="C100" s="170"/>
      <c r="D100" s="170"/>
      <c r="E100" s="170"/>
      <c r="F100" s="488"/>
      <c r="G100" s="170"/>
      <c r="H100" s="170"/>
      <c r="I100" s="170"/>
      <c r="J100" s="170"/>
      <c r="K100" s="170"/>
      <c r="L100" s="170"/>
      <c r="M100" s="170"/>
      <c r="N100" s="170"/>
    </row>
    <row r="101" spans="1:68" x14ac:dyDescent="0.2">
      <c r="A101" s="170"/>
      <c r="B101" s="170"/>
      <c r="C101" s="170"/>
      <c r="D101" s="170"/>
      <c r="E101" s="170"/>
      <c r="F101" s="488"/>
      <c r="G101" s="170"/>
      <c r="H101" s="170"/>
      <c r="I101" s="170"/>
      <c r="J101" s="170"/>
      <c r="K101" s="170"/>
      <c r="L101" s="170"/>
      <c r="M101" s="170"/>
      <c r="N101" s="170"/>
    </row>
    <row r="102" spans="1:68" x14ac:dyDescent="0.2">
      <c r="A102" s="170"/>
      <c r="B102" s="170"/>
      <c r="C102" s="170"/>
      <c r="D102" s="170"/>
      <c r="E102" s="170"/>
      <c r="F102" s="488"/>
      <c r="G102" s="170"/>
      <c r="H102" s="170"/>
      <c r="I102" s="170"/>
      <c r="J102" s="170"/>
      <c r="K102" s="170"/>
      <c r="L102" s="170"/>
      <c r="M102" s="170"/>
      <c r="N102" s="170"/>
    </row>
    <row r="103" spans="1:68" x14ac:dyDescent="0.2">
      <c r="A103" s="170"/>
      <c r="B103" s="170"/>
      <c r="C103" s="170"/>
      <c r="D103" s="170"/>
      <c r="E103" s="170"/>
      <c r="F103" s="488"/>
      <c r="G103" s="170"/>
      <c r="H103" s="170"/>
      <c r="I103" s="170"/>
      <c r="J103" s="170"/>
      <c r="K103" s="170"/>
      <c r="L103" s="170"/>
      <c r="M103" s="170"/>
      <c r="N103" s="170"/>
      <c r="BH103" s="491"/>
      <c r="BI103" s="202"/>
      <c r="BJ103" s="202"/>
      <c r="BK103" s="654"/>
      <c r="BL103" s="654"/>
      <c r="BM103" s="654">
        <v>149</v>
      </c>
      <c r="BN103" s="654"/>
      <c r="BO103" s="655"/>
      <c r="BP103" s="656">
        <v>98</v>
      </c>
    </row>
    <row r="104" spans="1:68" x14ac:dyDescent="0.2">
      <c r="A104" s="170"/>
      <c r="B104" s="170"/>
      <c r="C104" s="170" t="s">
        <v>1219</v>
      </c>
      <c r="D104" s="170"/>
      <c r="E104" s="170"/>
      <c r="F104" s="488"/>
      <c r="G104" s="170"/>
      <c r="H104" s="170"/>
      <c r="I104" s="170"/>
      <c r="J104" s="170"/>
      <c r="K104" s="170"/>
      <c r="L104" s="170"/>
      <c r="M104" s="170"/>
      <c r="N104" s="170"/>
      <c r="BH104" s="213"/>
      <c r="BI104" s="204"/>
      <c r="BJ104" s="204"/>
      <c r="BK104" s="657"/>
      <c r="BL104" s="657"/>
      <c r="BM104" s="657">
        <v>190</v>
      </c>
      <c r="BN104" s="657"/>
      <c r="BO104" s="658"/>
      <c r="BP104" s="659">
        <v>124</v>
      </c>
    </row>
    <row r="105" spans="1:68" x14ac:dyDescent="0.2">
      <c r="A105" s="170"/>
      <c r="B105" s="170"/>
      <c r="C105" s="170"/>
      <c r="D105" s="170"/>
      <c r="E105" s="170"/>
      <c r="F105" s="488"/>
      <c r="G105" s="170"/>
      <c r="H105" s="170"/>
      <c r="I105" s="170"/>
      <c r="J105" s="170"/>
      <c r="K105" s="170"/>
      <c r="L105" s="170"/>
      <c r="M105" s="170"/>
      <c r="N105" s="170"/>
      <c r="BH105" s="213"/>
      <c r="BI105" s="204"/>
      <c r="BJ105" s="204"/>
      <c r="BK105" s="657"/>
      <c r="BL105" s="657"/>
      <c r="BM105" s="657">
        <v>179</v>
      </c>
      <c r="BN105" s="657"/>
      <c r="BO105" s="658"/>
      <c r="BP105" s="659">
        <v>119</v>
      </c>
    </row>
    <row r="106" spans="1:68" x14ac:dyDescent="0.2">
      <c r="A106" s="170"/>
      <c r="B106" s="170"/>
      <c r="D106" s="170"/>
      <c r="E106" s="170"/>
      <c r="F106" s="648" t="s">
        <v>1220</v>
      </c>
      <c r="G106" s="648" t="s">
        <v>1221</v>
      </c>
      <c r="H106" s="648"/>
      <c r="I106" s="648" t="s">
        <v>1222</v>
      </c>
      <c r="J106" s="170"/>
      <c r="K106" s="170"/>
      <c r="L106" s="170"/>
      <c r="M106" s="170"/>
      <c r="N106" s="170"/>
      <c r="BH106" s="213"/>
      <c r="BI106" s="204"/>
      <c r="BJ106" s="204"/>
      <c r="BK106" s="657"/>
      <c r="BL106" s="657"/>
      <c r="BM106" s="657"/>
      <c r="BN106" s="657"/>
      <c r="BO106" s="658"/>
      <c r="BP106" s="659"/>
    </row>
    <row r="107" spans="1:68" x14ac:dyDescent="0.2">
      <c r="A107" s="170"/>
      <c r="B107" s="170"/>
      <c r="C107" s="170" t="s">
        <v>4</v>
      </c>
      <c r="D107" s="170"/>
      <c r="E107" s="170"/>
      <c r="F107" s="3017">
        <v>35.700000000000003</v>
      </c>
      <c r="G107" s="3017">
        <v>36</v>
      </c>
      <c r="H107" s="3017"/>
      <c r="I107" s="3017">
        <v>36.4</v>
      </c>
      <c r="J107" s="170"/>
      <c r="K107" s="170"/>
      <c r="L107" s="170"/>
      <c r="M107" s="170"/>
      <c r="N107" s="170"/>
      <c r="BH107" s="220"/>
      <c r="BI107" s="221"/>
      <c r="BJ107" s="221"/>
      <c r="BK107" s="660" t="s">
        <v>205</v>
      </c>
      <c r="BL107" s="661"/>
      <c r="BM107" s="661"/>
      <c r="BN107" s="661"/>
      <c r="BO107" s="662">
        <f>BP105/BM105</f>
        <v>0.66480446927374304</v>
      </c>
      <c r="BP107" s="663"/>
    </row>
    <row r="108" spans="1:68" x14ac:dyDescent="0.2">
      <c r="A108" s="170"/>
      <c r="B108" s="170"/>
      <c r="C108" s="170" t="s">
        <v>1202</v>
      </c>
      <c r="D108" s="170"/>
      <c r="E108" s="170"/>
      <c r="F108" s="3017">
        <v>35.6</v>
      </c>
      <c r="G108" s="3017">
        <v>36</v>
      </c>
      <c r="H108" s="3017"/>
      <c r="I108" s="3017">
        <v>36.5</v>
      </c>
      <c r="J108" s="170"/>
      <c r="K108" s="170"/>
      <c r="L108" s="170"/>
      <c r="M108" s="170"/>
      <c r="N108" s="170"/>
      <c r="BH108"/>
      <c r="BI108"/>
      <c r="BJ108"/>
    </row>
    <row r="109" spans="1:68" ht="14.25" x14ac:dyDescent="0.2">
      <c r="A109" s="164"/>
      <c r="B109" s="164"/>
      <c r="C109" s="170" t="s">
        <v>1215</v>
      </c>
      <c r="D109" s="164"/>
      <c r="E109" s="164"/>
      <c r="F109" s="3018">
        <v>35.200000000000003</v>
      </c>
      <c r="G109" s="3018">
        <v>35.6</v>
      </c>
      <c r="H109" s="3018"/>
      <c r="I109" s="3018">
        <v>36</v>
      </c>
      <c r="J109" s="164"/>
      <c r="K109" s="164"/>
      <c r="L109" s="164"/>
      <c r="M109" s="164"/>
      <c r="N109" s="164"/>
      <c r="BH109"/>
      <c r="BI109"/>
      <c r="BJ109"/>
    </row>
    <row r="110" spans="1:68" ht="14.25" x14ac:dyDescent="0.2">
      <c r="A110" s="164"/>
      <c r="B110" s="164"/>
      <c r="C110" s="164" t="s">
        <v>11</v>
      </c>
      <c r="D110" s="164"/>
      <c r="E110" s="164"/>
      <c r="F110" s="3018">
        <v>34.299999999999997</v>
      </c>
      <c r="G110" s="3018">
        <v>35.1</v>
      </c>
      <c r="H110" s="3018"/>
      <c r="I110" s="3018">
        <v>35.299999999999997</v>
      </c>
      <c r="J110" s="164"/>
      <c r="K110" s="164"/>
      <c r="L110" s="164"/>
      <c r="M110" s="164"/>
      <c r="N110" s="164"/>
      <c r="BH110"/>
      <c r="BI110"/>
      <c r="BJ110"/>
    </row>
    <row r="111" spans="1:68" ht="14.25" x14ac:dyDescent="0.2">
      <c r="A111" s="164"/>
      <c r="B111" s="164"/>
      <c r="C111" s="164" t="s">
        <v>1216</v>
      </c>
      <c r="D111" s="164"/>
      <c r="E111" s="164"/>
      <c r="F111" s="3018">
        <v>35</v>
      </c>
      <c r="G111" s="3018">
        <v>35.5</v>
      </c>
      <c r="H111" s="3018"/>
      <c r="I111" s="3018">
        <v>36</v>
      </c>
      <c r="J111" s="164"/>
      <c r="K111" s="164"/>
      <c r="L111" s="164"/>
      <c r="M111" s="164"/>
      <c r="N111" s="164"/>
      <c r="BH111"/>
      <c r="BI111"/>
      <c r="BJ111"/>
    </row>
    <row r="112" spans="1:68" ht="14.25" x14ac:dyDescent="0.2">
      <c r="A112" s="164"/>
      <c r="B112" s="164"/>
      <c r="C112" s="164" t="s">
        <v>29</v>
      </c>
      <c r="D112" s="164"/>
      <c r="E112" s="164"/>
      <c r="F112" s="3018">
        <v>35.1</v>
      </c>
      <c r="G112" s="3018">
        <v>35.4</v>
      </c>
      <c r="H112" s="3018"/>
      <c r="I112" s="3018">
        <v>35.799999999999997</v>
      </c>
      <c r="J112" s="164"/>
      <c r="K112" s="164"/>
      <c r="L112" s="164"/>
      <c r="M112" s="164"/>
      <c r="N112" s="164"/>
      <c r="BH112"/>
      <c r="BI112"/>
      <c r="BJ112"/>
    </row>
    <row r="113" spans="1:62" ht="14.25" x14ac:dyDescent="0.2">
      <c r="A113" s="164"/>
      <c r="B113" s="164"/>
      <c r="C113" s="164" t="s">
        <v>1217</v>
      </c>
      <c r="D113" s="164"/>
      <c r="E113" s="164"/>
      <c r="F113" s="3018">
        <v>35</v>
      </c>
      <c r="G113" s="3018">
        <v>35.5</v>
      </c>
      <c r="H113" s="3018"/>
      <c r="I113" s="3018">
        <v>35.799999999999997</v>
      </c>
      <c r="J113" s="164"/>
      <c r="K113" s="164"/>
      <c r="L113" s="164"/>
      <c r="M113" s="164"/>
      <c r="N113" s="164"/>
      <c r="BH113"/>
      <c r="BI113"/>
      <c r="BJ113"/>
    </row>
    <row r="114" spans="1:62" ht="14.25" x14ac:dyDescent="0.2">
      <c r="A114" s="164"/>
      <c r="B114" s="164"/>
      <c r="C114" s="164" t="s">
        <v>1218</v>
      </c>
      <c r="D114" s="164"/>
      <c r="E114" s="164"/>
      <c r="F114" s="3018">
        <v>33.4</v>
      </c>
      <c r="G114" s="3018">
        <v>33.700000000000003</v>
      </c>
      <c r="H114" s="3018"/>
      <c r="I114" s="3018">
        <v>34.1</v>
      </c>
      <c r="J114" s="164"/>
      <c r="K114" s="164"/>
      <c r="L114" s="164"/>
      <c r="M114" s="164"/>
      <c r="N114" s="164"/>
      <c r="BH114"/>
      <c r="BI114"/>
      <c r="BJ114"/>
    </row>
    <row r="115" spans="1:62" ht="14.25" x14ac:dyDescent="0.2">
      <c r="A115" s="164"/>
      <c r="B115" s="164"/>
      <c r="C115" s="164" t="s">
        <v>25</v>
      </c>
      <c r="D115" s="164"/>
      <c r="E115" s="164"/>
      <c r="F115" s="3018">
        <v>35.299999999999997</v>
      </c>
      <c r="G115" s="3018">
        <v>35.5</v>
      </c>
      <c r="H115" s="3018"/>
      <c r="I115" s="3018">
        <v>35.799999999999997</v>
      </c>
      <c r="J115" s="164"/>
      <c r="K115" s="164"/>
      <c r="L115" s="164"/>
      <c r="M115" s="164"/>
      <c r="N115" s="164"/>
    </row>
    <row r="116" spans="1:62" ht="15" x14ac:dyDescent="0.2">
      <c r="A116" s="164"/>
      <c r="B116" s="164"/>
      <c r="C116" s="2174" t="s">
        <v>1223</v>
      </c>
      <c r="D116" s="2174"/>
      <c r="E116" s="2174"/>
      <c r="F116" s="3019">
        <f>AVERAGE(F107:F115)</f>
        <v>34.955555555555556</v>
      </c>
      <c r="G116" s="3019">
        <f>AVERAGE(G107:G115)</f>
        <v>35.366666666666667</v>
      </c>
      <c r="H116" s="3019"/>
      <c r="I116" s="3019">
        <f>AVERAGE(I107:I115)</f>
        <v>35.744444444444447</v>
      </c>
      <c r="J116" s="164"/>
      <c r="K116" s="164"/>
      <c r="L116" s="164"/>
      <c r="M116" s="164"/>
      <c r="N116" s="164"/>
    </row>
    <row r="117" spans="1:62" ht="14.25" x14ac:dyDescent="0.2">
      <c r="A117" s="164"/>
      <c r="B117" s="164"/>
      <c r="C117" s="164"/>
      <c r="D117" s="164"/>
      <c r="E117" s="164"/>
      <c r="F117" s="489"/>
      <c r="G117" s="164"/>
      <c r="H117" s="164"/>
      <c r="I117" s="164"/>
      <c r="J117" s="164"/>
      <c r="K117" s="164"/>
      <c r="L117" s="164"/>
      <c r="M117" s="164"/>
      <c r="N117" s="164"/>
    </row>
    <row r="118" spans="1:62" ht="14.25" x14ac:dyDescent="0.2">
      <c r="A118" s="164"/>
      <c r="B118" s="164"/>
      <c r="C118" s="164"/>
      <c r="D118" s="164"/>
      <c r="E118" s="164"/>
      <c r="F118" s="489"/>
      <c r="G118" s="164"/>
      <c r="H118" s="164"/>
      <c r="I118" s="164"/>
      <c r="J118" s="164"/>
      <c r="K118" s="164"/>
      <c r="L118" s="164"/>
      <c r="M118" s="164"/>
      <c r="N118" s="164"/>
    </row>
    <row r="119" spans="1:62" ht="14.25" x14ac:dyDescent="0.2">
      <c r="A119" s="164"/>
      <c r="B119" s="164"/>
      <c r="C119" s="164"/>
      <c r="D119" s="164"/>
      <c r="E119" s="164"/>
      <c r="F119" s="489"/>
      <c r="G119" s="164"/>
      <c r="H119" s="164"/>
      <c r="I119" s="164"/>
      <c r="J119" s="164"/>
      <c r="K119" s="164"/>
      <c r="L119" s="164"/>
      <c r="M119" s="164"/>
      <c r="N119" s="164"/>
    </row>
    <row r="120" spans="1:62" ht="14.25" x14ac:dyDescent="0.2">
      <c r="A120" s="164"/>
      <c r="B120" s="164"/>
      <c r="C120" s="164"/>
      <c r="D120" s="164"/>
      <c r="E120" s="164"/>
      <c r="F120" s="489"/>
      <c r="G120" s="164"/>
      <c r="H120" s="164"/>
      <c r="I120" s="164"/>
      <c r="J120" s="164"/>
      <c r="K120" s="164"/>
      <c r="L120" s="164"/>
      <c r="M120" s="164"/>
      <c r="N120" s="164"/>
    </row>
    <row r="121" spans="1:62" ht="14.25" x14ac:dyDescent="0.2">
      <c r="A121" s="164"/>
      <c r="B121" s="164"/>
      <c r="C121" s="164"/>
      <c r="D121" s="164"/>
      <c r="E121" s="164"/>
      <c r="F121" s="489"/>
      <c r="G121" s="164"/>
      <c r="H121" s="164"/>
      <c r="I121" s="164"/>
      <c r="J121" s="164"/>
      <c r="K121" s="164"/>
      <c r="L121" s="164"/>
      <c r="M121" s="164"/>
      <c r="N121" s="164"/>
    </row>
    <row r="122" spans="1:62" ht="14.25" x14ac:dyDescent="0.2">
      <c r="A122" s="164"/>
      <c r="B122" s="164"/>
      <c r="C122" s="164"/>
      <c r="D122" s="164"/>
      <c r="E122" s="164"/>
      <c r="F122" s="489"/>
      <c r="G122" s="164"/>
      <c r="H122" s="164"/>
      <c r="I122" s="164"/>
      <c r="J122" s="164"/>
      <c r="K122" s="164"/>
      <c r="L122" s="164"/>
      <c r="M122" s="164"/>
      <c r="N122" s="164"/>
    </row>
    <row r="123" spans="1:62" ht="14.25" x14ac:dyDescent="0.2">
      <c r="A123" s="164"/>
      <c r="B123" s="164"/>
      <c r="C123" s="164"/>
      <c r="D123" s="164"/>
      <c r="E123" s="164"/>
      <c r="F123" s="489"/>
      <c r="G123" s="164"/>
      <c r="H123" s="164"/>
      <c r="I123" s="164"/>
      <c r="J123" s="164"/>
      <c r="K123" s="164"/>
      <c r="L123" s="164"/>
      <c r="M123" s="164"/>
      <c r="N123" s="164"/>
    </row>
    <row r="124" spans="1:62" ht="14.25" x14ac:dyDescent="0.2">
      <c r="A124" s="164"/>
      <c r="B124" s="164"/>
      <c r="C124" s="164"/>
      <c r="D124" s="164"/>
      <c r="E124" s="164"/>
      <c r="F124" s="489"/>
      <c r="G124" s="164"/>
      <c r="H124" s="164"/>
      <c r="I124" s="164"/>
      <c r="J124" s="164"/>
      <c r="K124" s="164"/>
      <c r="L124" s="164"/>
      <c r="M124" s="164"/>
      <c r="N124" s="164"/>
    </row>
    <row r="125" spans="1:62" ht="14.25" x14ac:dyDescent="0.2">
      <c r="A125" s="164"/>
      <c r="B125" s="164"/>
      <c r="C125" s="164"/>
      <c r="D125" s="164"/>
      <c r="E125" s="164"/>
      <c r="F125" s="489"/>
      <c r="G125" s="164"/>
      <c r="H125" s="164"/>
      <c r="I125" s="164"/>
      <c r="J125" s="164"/>
      <c r="K125" s="164"/>
      <c r="L125" s="164"/>
      <c r="M125" s="164"/>
      <c r="N125" s="164"/>
    </row>
    <row r="126" spans="1:62" ht="14.25" x14ac:dyDescent="0.2">
      <c r="A126" s="164"/>
      <c r="B126" s="164"/>
      <c r="C126" s="164"/>
      <c r="D126" s="164"/>
      <c r="E126" s="164"/>
      <c r="F126" s="489"/>
      <c r="G126" s="164"/>
      <c r="H126" s="164"/>
      <c r="I126" s="164"/>
      <c r="J126" s="164"/>
      <c r="K126" s="164"/>
      <c r="L126" s="164"/>
      <c r="M126" s="164"/>
      <c r="N126" s="164"/>
    </row>
    <row r="127" spans="1:62" ht="14.25" x14ac:dyDescent="0.2">
      <c r="A127" s="164"/>
      <c r="B127" s="164"/>
      <c r="C127" s="164"/>
      <c r="D127" s="164"/>
      <c r="E127" s="164"/>
      <c r="F127" s="489"/>
      <c r="G127" s="164"/>
      <c r="H127" s="164"/>
      <c r="I127" s="164"/>
      <c r="J127" s="164"/>
      <c r="K127" s="164"/>
      <c r="L127" s="164"/>
      <c r="M127" s="164"/>
      <c r="N127" s="164"/>
    </row>
    <row r="128" spans="1:62" ht="14.25" x14ac:dyDescent="0.2">
      <c r="A128" s="164"/>
      <c r="B128" s="164"/>
      <c r="C128" s="164"/>
      <c r="D128" s="164"/>
      <c r="E128" s="164"/>
      <c r="F128" s="489"/>
      <c r="G128" s="164"/>
      <c r="H128" s="164"/>
      <c r="I128" s="164"/>
      <c r="J128" s="164"/>
      <c r="K128" s="164"/>
      <c r="L128" s="164"/>
      <c r="M128" s="164"/>
      <c r="N128" s="164"/>
    </row>
    <row r="129" spans="1:14" ht="14.25" x14ac:dyDescent="0.2">
      <c r="A129" s="164"/>
      <c r="B129" s="164"/>
      <c r="C129" s="164"/>
      <c r="D129" s="164"/>
      <c r="E129" s="164"/>
      <c r="F129" s="489"/>
      <c r="G129" s="164"/>
      <c r="H129" s="164"/>
      <c r="I129" s="164"/>
      <c r="J129" s="164"/>
      <c r="K129" s="164"/>
      <c r="L129" s="164"/>
      <c r="M129" s="164"/>
      <c r="N129" s="164"/>
    </row>
    <row r="130" spans="1:14" ht="14.25" x14ac:dyDescent="0.2">
      <c r="A130" s="164"/>
      <c r="B130" s="164"/>
      <c r="C130" s="164"/>
      <c r="D130" s="164"/>
      <c r="E130" s="164"/>
      <c r="F130" s="489"/>
      <c r="G130" s="164"/>
      <c r="H130" s="164"/>
      <c r="I130" s="164"/>
      <c r="J130" s="164"/>
      <c r="K130" s="164"/>
      <c r="L130" s="164"/>
      <c r="M130" s="164"/>
      <c r="N130" s="164"/>
    </row>
    <row r="131" spans="1:14" ht="14.25" x14ac:dyDescent="0.2">
      <c r="A131" s="164"/>
      <c r="B131" s="164"/>
      <c r="C131" s="164"/>
      <c r="D131" s="164"/>
      <c r="E131" s="164"/>
      <c r="F131" s="489"/>
      <c r="G131" s="164"/>
      <c r="H131" s="164"/>
      <c r="I131" s="164"/>
      <c r="J131" s="164"/>
      <c r="K131" s="164"/>
      <c r="L131" s="164"/>
      <c r="M131" s="164"/>
      <c r="N131" s="164"/>
    </row>
    <row r="132" spans="1:14" ht="14.25" x14ac:dyDescent="0.2">
      <c r="A132" s="164"/>
      <c r="B132" s="164"/>
      <c r="C132" s="164"/>
      <c r="D132" s="164"/>
      <c r="E132" s="164"/>
      <c r="F132" s="489"/>
      <c r="G132" s="164"/>
      <c r="H132" s="164"/>
      <c r="I132" s="164"/>
      <c r="J132" s="164"/>
      <c r="K132" s="164"/>
      <c r="L132" s="164"/>
      <c r="M132" s="164"/>
      <c r="N132" s="164"/>
    </row>
    <row r="133" spans="1:14" ht="14.25" x14ac:dyDescent="0.2">
      <c r="A133" s="164"/>
      <c r="B133" s="164"/>
      <c r="C133" s="164"/>
      <c r="D133" s="164"/>
      <c r="E133" s="164"/>
      <c r="F133" s="489"/>
      <c r="G133" s="164"/>
      <c r="H133" s="164"/>
      <c r="I133" s="164"/>
      <c r="J133" s="164"/>
      <c r="K133" s="164"/>
      <c r="L133" s="164"/>
      <c r="M133" s="164"/>
      <c r="N133" s="164"/>
    </row>
    <row r="134" spans="1:14" ht="14.25" x14ac:dyDescent="0.2">
      <c r="A134" s="164"/>
      <c r="B134" s="164"/>
      <c r="C134" s="164"/>
      <c r="D134" s="164"/>
      <c r="E134" s="164"/>
      <c r="F134" s="489"/>
      <c r="G134" s="164"/>
      <c r="H134" s="164"/>
      <c r="I134" s="164"/>
      <c r="J134" s="164"/>
      <c r="K134" s="164"/>
      <c r="L134" s="164"/>
      <c r="M134" s="164"/>
      <c r="N134" s="164"/>
    </row>
    <row r="135" spans="1:14" ht="14.25" x14ac:dyDescent="0.2">
      <c r="A135" s="164"/>
      <c r="B135" s="164"/>
      <c r="C135" s="164"/>
      <c r="D135" s="164"/>
      <c r="E135" s="164"/>
      <c r="F135"/>
      <c r="G135"/>
      <c r="H135"/>
      <c r="I135"/>
      <c r="J135" s="164"/>
      <c r="K135" s="164"/>
      <c r="L135" s="164"/>
      <c r="M135" s="164"/>
      <c r="N135" s="164"/>
    </row>
    <row r="136" spans="1:14" ht="14.25" x14ac:dyDescent="0.2">
      <c r="A136" s="164"/>
      <c r="B136" s="164"/>
      <c r="C136" s="164"/>
      <c r="D136" s="164"/>
      <c r="E136" s="164"/>
      <c r="F136"/>
      <c r="G136"/>
      <c r="H136"/>
      <c r="I136"/>
      <c r="J136" s="164"/>
      <c r="K136" s="164"/>
      <c r="L136" s="164"/>
      <c r="M136" s="164"/>
      <c r="N136" s="164"/>
    </row>
    <row r="137" spans="1:14" ht="14.25" x14ac:dyDescent="0.2">
      <c r="A137" s="164"/>
      <c r="B137" s="164"/>
      <c r="C137" s="164"/>
      <c r="D137" s="164"/>
      <c r="E137" s="164"/>
      <c r="F137"/>
      <c r="G137"/>
      <c r="H137"/>
      <c r="I137"/>
      <c r="J137" s="164"/>
      <c r="K137" s="164"/>
      <c r="L137" s="164"/>
      <c r="M137" s="164"/>
      <c r="N137" s="164"/>
    </row>
    <row r="138" spans="1:14" ht="14.25" x14ac:dyDescent="0.2">
      <c r="A138" s="164"/>
      <c r="B138" s="164"/>
      <c r="C138" s="164"/>
      <c r="D138" s="164"/>
      <c r="E138" s="164"/>
      <c r="F138"/>
      <c r="G138"/>
      <c r="H138"/>
      <c r="I138"/>
      <c r="J138" s="164"/>
      <c r="K138" s="164"/>
      <c r="L138" s="164"/>
      <c r="M138" s="164"/>
      <c r="N138" s="164"/>
    </row>
    <row r="139" spans="1:14" ht="14.25" x14ac:dyDescent="0.2">
      <c r="A139" s="164"/>
      <c r="B139" s="164"/>
      <c r="C139" s="164"/>
      <c r="D139" s="164"/>
      <c r="E139" s="164"/>
      <c r="F139"/>
      <c r="G139"/>
      <c r="H139"/>
      <c r="I139"/>
      <c r="J139" s="164"/>
      <c r="K139" s="164"/>
      <c r="L139" s="164"/>
      <c r="M139" s="164"/>
      <c r="N139" s="164"/>
    </row>
    <row r="140" spans="1:14" ht="14.25" x14ac:dyDescent="0.2">
      <c r="A140" s="164"/>
      <c r="B140" s="164"/>
      <c r="C140" s="164"/>
      <c r="D140" s="164"/>
      <c r="E140" s="164"/>
      <c r="F140"/>
      <c r="G140"/>
      <c r="H140"/>
      <c r="I140"/>
      <c r="J140" s="164"/>
      <c r="K140" s="164"/>
      <c r="L140" s="164"/>
      <c r="M140" s="164"/>
      <c r="N140" s="164"/>
    </row>
    <row r="141" spans="1:14" ht="14.25" x14ac:dyDescent="0.2">
      <c r="A141" s="164"/>
      <c r="B141" s="164"/>
      <c r="C141" s="164"/>
      <c r="D141" s="164"/>
      <c r="E141" s="164"/>
      <c r="F141"/>
      <c r="G141"/>
      <c r="H141"/>
      <c r="I141"/>
      <c r="J141" s="164"/>
      <c r="K141" s="164"/>
      <c r="L141" s="164"/>
      <c r="M141" s="164"/>
      <c r="N141" s="164"/>
    </row>
    <row r="142" spans="1:14" ht="14.25" x14ac:dyDescent="0.2">
      <c r="A142" s="164"/>
      <c r="B142" s="164"/>
      <c r="C142" s="164"/>
      <c r="D142" s="164"/>
      <c r="E142" s="164"/>
      <c r="F142"/>
      <c r="G142"/>
      <c r="H142"/>
      <c r="I142"/>
      <c r="J142" s="164"/>
      <c r="K142" s="164"/>
      <c r="L142" s="164"/>
      <c r="M142" s="164"/>
      <c r="N142" s="164"/>
    </row>
    <row r="143" spans="1:14" ht="14.25" x14ac:dyDescent="0.2">
      <c r="A143" s="164"/>
      <c r="B143" s="164"/>
      <c r="C143" s="164"/>
      <c r="D143" s="164"/>
      <c r="E143" s="164"/>
      <c r="F143"/>
      <c r="G143"/>
      <c r="H143"/>
      <c r="I143"/>
      <c r="J143" s="164"/>
      <c r="K143" s="164"/>
      <c r="L143" s="164"/>
      <c r="M143" s="164"/>
      <c r="N143" s="164"/>
    </row>
    <row r="144" spans="1:14" ht="14.25" x14ac:dyDescent="0.2">
      <c r="A144" s="164"/>
      <c r="B144" s="164"/>
      <c r="C144" s="164"/>
      <c r="D144" s="164"/>
      <c r="E144" s="164"/>
      <c r="F144"/>
      <c r="G144"/>
      <c r="H144"/>
      <c r="I144"/>
      <c r="J144" s="164"/>
      <c r="K144" s="164"/>
      <c r="L144" s="164"/>
      <c r="M144" s="164"/>
      <c r="N144" s="164"/>
    </row>
    <row r="145" spans="1:14" ht="14.25" x14ac:dyDescent="0.2">
      <c r="A145" s="164"/>
      <c r="B145" s="164"/>
      <c r="C145" s="164"/>
      <c r="D145" s="164"/>
      <c r="E145" s="164"/>
      <c r="F145"/>
      <c r="G145"/>
      <c r="H145"/>
      <c r="I145"/>
      <c r="J145" s="164"/>
      <c r="K145" s="164"/>
      <c r="L145" s="164"/>
      <c r="M145" s="164"/>
      <c r="N145" s="164"/>
    </row>
    <row r="146" spans="1:14" ht="14.25" x14ac:dyDescent="0.2">
      <c r="A146" s="164"/>
      <c r="B146" s="164"/>
      <c r="C146" s="164"/>
      <c r="D146" s="164"/>
      <c r="E146" s="164"/>
      <c r="F146"/>
      <c r="G146"/>
      <c r="H146"/>
      <c r="I146"/>
      <c r="J146" s="164"/>
      <c r="K146" s="164"/>
      <c r="L146" s="164"/>
      <c r="M146" s="164"/>
      <c r="N146" s="164"/>
    </row>
    <row r="147" spans="1:14" ht="14.25" x14ac:dyDescent="0.2">
      <c r="A147" s="164"/>
      <c r="B147" s="164"/>
      <c r="C147" s="164"/>
      <c r="D147" s="164"/>
      <c r="E147" s="164"/>
      <c r="F147"/>
      <c r="G147"/>
      <c r="H147"/>
      <c r="I147"/>
      <c r="J147" s="164"/>
      <c r="K147" s="164"/>
      <c r="L147" s="164"/>
      <c r="M147" s="164"/>
      <c r="N147" s="164"/>
    </row>
    <row r="148" spans="1:14" ht="14.25" x14ac:dyDescent="0.2">
      <c r="A148" s="164"/>
      <c r="B148" s="164"/>
      <c r="C148" s="164"/>
      <c r="D148" s="164"/>
      <c r="E148" s="164"/>
      <c r="F148"/>
      <c r="G148"/>
      <c r="H148"/>
      <c r="I148"/>
      <c r="J148" s="164"/>
      <c r="K148" s="164"/>
      <c r="L148" s="164"/>
      <c r="M148" s="164"/>
      <c r="N148" s="164"/>
    </row>
    <row r="149" spans="1:14" ht="14.25" x14ac:dyDescent="0.2">
      <c r="A149" s="164"/>
      <c r="B149" s="164"/>
      <c r="C149" s="164"/>
      <c r="D149" s="164"/>
      <c r="E149" s="164"/>
      <c r="F149"/>
      <c r="G149"/>
      <c r="H149"/>
      <c r="I149"/>
      <c r="J149" s="164"/>
      <c r="K149" s="164"/>
      <c r="L149" s="164"/>
      <c r="M149" s="164"/>
      <c r="N149" s="164"/>
    </row>
    <row r="150" spans="1:14" ht="14.25" x14ac:dyDescent="0.2">
      <c r="A150" s="164"/>
      <c r="B150" s="164"/>
      <c r="C150" s="164"/>
      <c r="D150" s="164"/>
      <c r="E150" s="164"/>
      <c r="F150"/>
      <c r="G150"/>
      <c r="H150"/>
      <c r="I150"/>
      <c r="J150" s="164"/>
      <c r="K150" s="164"/>
      <c r="L150" s="164"/>
      <c r="M150" s="164"/>
      <c r="N150" s="164"/>
    </row>
    <row r="151" spans="1:14" ht="14.25" x14ac:dyDescent="0.2">
      <c r="A151" s="164"/>
      <c r="B151" s="164"/>
      <c r="C151" s="164"/>
      <c r="D151" s="164"/>
      <c r="E151" s="164"/>
      <c r="F151"/>
      <c r="G151"/>
      <c r="H151"/>
      <c r="I151"/>
      <c r="J151" s="164"/>
      <c r="K151" s="164"/>
      <c r="L151" s="164"/>
      <c r="M151" s="164"/>
      <c r="N151" s="164"/>
    </row>
    <row r="152" spans="1:14" ht="14.25" x14ac:dyDescent="0.2">
      <c r="A152" s="164"/>
      <c r="B152" s="164"/>
      <c r="C152" s="164"/>
      <c r="D152" s="164"/>
      <c r="E152" s="164"/>
      <c r="F152"/>
      <c r="G152"/>
      <c r="H152"/>
      <c r="I152"/>
      <c r="J152" s="164"/>
      <c r="K152" s="164"/>
      <c r="L152" s="164"/>
      <c r="M152" s="164"/>
      <c r="N152" s="164"/>
    </row>
    <row r="153" spans="1:14" ht="14.25" x14ac:dyDescent="0.2">
      <c r="A153" s="164"/>
      <c r="B153" s="164"/>
      <c r="C153" s="164"/>
      <c r="D153" s="164"/>
      <c r="E153" s="164"/>
      <c r="F153"/>
      <c r="G153"/>
      <c r="H153"/>
      <c r="I153"/>
      <c r="J153" s="164"/>
      <c r="K153" s="164"/>
      <c r="L153" s="164"/>
      <c r="M153" s="164"/>
      <c r="N153" s="164"/>
    </row>
    <row r="154" spans="1:14" ht="14.25" x14ac:dyDescent="0.2">
      <c r="A154" s="164"/>
      <c r="B154" s="164"/>
      <c r="C154" s="164"/>
      <c r="D154" s="164"/>
      <c r="E154" s="164"/>
      <c r="F154"/>
      <c r="G154"/>
      <c r="H154"/>
      <c r="I154"/>
      <c r="J154" s="164"/>
      <c r="K154" s="164"/>
      <c r="L154" s="164"/>
      <c r="M154" s="164"/>
      <c r="N154" s="164"/>
    </row>
    <row r="155" spans="1:14" ht="14.25" x14ac:dyDescent="0.2">
      <c r="A155" s="164"/>
      <c r="B155" s="164"/>
      <c r="C155" s="164"/>
      <c r="D155" s="164"/>
      <c r="E155" s="164"/>
      <c r="F155"/>
      <c r="G155"/>
      <c r="H155"/>
      <c r="I155"/>
      <c r="J155" s="164"/>
      <c r="K155" s="164"/>
      <c r="L155" s="164"/>
      <c r="M155" s="164"/>
      <c r="N155" s="164"/>
    </row>
    <row r="156" spans="1:14" ht="14.25" x14ac:dyDescent="0.2">
      <c r="A156" s="164"/>
      <c r="B156" s="164"/>
      <c r="C156" s="164"/>
      <c r="D156" s="164"/>
      <c r="E156" s="164"/>
      <c r="F156"/>
      <c r="G156"/>
      <c r="H156"/>
      <c r="I156"/>
      <c r="J156" s="164"/>
      <c r="K156" s="164"/>
      <c r="L156" s="164"/>
      <c r="M156" s="164"/>
      <c r="N156" s="164"/>
    </row>
    <row r="157" spans="1:14" ht="14.25" x14ac:dyDescent="0.2">
      <c r="A157" s="164"/>
      <c r="B157" s="164"/>
      <c r="C157" s="164"/>
      <c r="D157" s="164"/>
      <c r="E157" s="164"/>
      <c r="F157" s="489"/>
      <c r="G157" s="164"/>
      <c r="H157" s="164"/>
      <c r="I157" s="164"/>
      <c r="J157" s="164"/>
      <c r="K157" s="164"/>
      <c r="L157" s="164"/>
      <c r="M157" s="164"/>
      <c r="N157" s="164"/>
    </row>
    <row r="158" spans="1:14" ht="14.25" x14ac:dyDescent="0.2">
      <c r="A158" s="164"/>
      <c r="B158" s="164"/>
      <c r="C158" s="164"/>
      <c r="D158" s="164"/>
      <c r="E158" s="164"/>
      <c r="F158" s="489"/>
      <c r="G158" s="164"/>
      <c r="H158" s="164"/>
      <c r="I158" s="164"/>
      <c r="J158" s="164"/>
      <c r="K158" s="164"/>
      <c r="L158" s="164"/>
      <c r="M158" s="164"/>
      <c r="N158" s="164"/>
    </row>
    <row r="159" spans="1:14" ht="14.25" x14ac:dyDescent="0.2">
      <c r="A159" s="164"/>
      <c r="B159" s="164"/>
      <c r="C159" s="164"/>
      <c r="D159" s="164"/>
      <c r="E159" s="164"/>
      <c r="F159" s="489"/>
      <c r="G159" s="164"/>
      <c r="H159" s="164"/>
      <c r="I159" s="164"/>
      <c r="J159" s="164"/>
      <c r="K159" s="164"/>
      <c r="L159" s="164"/>
      <c r="M159" s="164"/>
      <c r="N159" s="164"/>
    </row>
    <row r="160" spans="1:14" ht="14.25" x14ac:dyDescent="0.2">
      <c r="A160" s="164"/>
      <c r="B160" s="164"/>
      <c r="C160" s="164"/>
      <c r="D160" s="164"/>
      <c r="E160" s="164"/>
      <c r="F160" s="489"/>
      <c r="G160" s="164"/>
      <c r="H160" s="164"/>
      <c r="I160" s="164"/>
      <c r="J160" s="164"/>
      <c r="K160" s="164"/>
      <c r="L160" s="164"/>
      <c r="M160" s="164"/>
      <c r="N160" s="164"/>
    </row>
    <row r="161" spans="1:14" ht="14.25" x14ac:dyDescent="0.2">
      <c r="A161" s="164"/>
      <c r="B161" s="164"/>
      <c r="C161" s="164"/>
      <c r="D161" s="164"/>
      <c r="E161" s="164"/>
      <c r="F161" s="489"/>
      <c r="G161" s="164"/>
      <c r="H161" s="164"/>
      <c r="I161" s="164"/>
      <c r="J161" s="164"/>
      <c r="K161" s="164"/>
      <c r="L161" s="164"/>
      <c r="M161" s="164"/>
      <c r="N161" s="164"/>
    </row>
    <row r="162" spans="1:14" ht="14.25" x14ac:dyDescent="0.2">
      <c r="A162" s="164"/>
      <c r="B162" s="164"/>
      <c r="C162" s="164"/>
      <c r="D162" s="164"/>
      <c r="E162" s="164"/>
      <c r="F162" s="489"/>
      <c r="G162" s="164"/>
      <c r="H162" s="164"/>
      <c r="I162" s="164"/>
      <c r="J162" s="164"/>
      <c r="K162" s="164"/>
      <c r="L162" s="164"/>
      <c r="M162" s="164"/>
      <c r="N162" s="164"/>
    </row>
    <row r="163" spans="1:14" ht="14.25" x14ac:dyDescent="0.2">
      <c r="A163" s="164"/>
      <c r="B163" s="164"/>
      <c r="C163" s="164"/>
      <c r="D163" s="164"/>
      <c r="E163" s="164"/>
      <c r="F163" s="489"/>
      <c r="G163" s="164"/>
      <c r="H163" s="164"/>
      <c r="I163" s="164"/>
      <c r="J163" s="164"/>
      <c r="K163" s="164"/>
      <c r="L163" s="164"/>
      <c r="M163" s="164"/>
      <c r="N163" s="164"/>
    </row>
    <row r="220" spans="3:18" ht="20.25" x14ac:dyDescent="0.2">
      <c r="D220" s="526" t="s">
        <v>589</v>
      </c>
    </row>
    <row r="221" spans="3:18" x14ac:dyDescent="0.2">
      <c r="C221"/>
      <c r="D221"/>
      <c r="E221"/>
      <c r="F221"/>
      <c r="G221"/>
      <c r="H221"/>
      <c r="I221"/>
      <c r="J221"/>
      <c r="K221"/>
      <c r="L221"/>
      <c r="M221"/>
      <c r="N221"/>
      <c r="P221"/>
      <c r="Q221"/>
      <c r="R221"/>
    </row>
    <row r="222" spans="3:18" x14ac:dyDescent="0.2">
      <c r="C222"/>
      <c r="D222"/>
      <c r="E222"/>
      <c r="F222"/>
      <c r="G222"/>
      <c r="H222"/>
      <c r="I222"/>
      <c r="J222"/>
      <c r="K222"/>
      <c r="L222"/>
      <c r="M222"/>
      <c r="N222"/>
      <c r="P222"/>
      <c r="Q222"/>
      <c r="R222"/>
    </row>
    <row r="223" spans="3:18" x14ac:dyDescent="0.2">
      <c r="C223"/>
      <c r="D223"/>
      <c r="E223"/>
      <c r="F223"/>
      <c r="G223"/>
      <c r="H223"/>
      <c r="I223"/>
      <c r="J223"/>
      <c r="K223"/>
      <c r="L223"/>
      <c r="M223"/>
      <c r="N223"/>
      <c r="P223"/>
      <c r="Q223"/>
      <c r="R223"/>
    </row>
    <row r="224" spans="3:18" x14ac:dyDescent="0.2">
      <c r="C224"/>
      <c r="D224"/>
      <c r="E224"/>
      <c r="F224"/>
      <c r="G224"/>
      <c r="H224"/>
      <c r="I224"/>
      <c r="J224"/>
      <c r="K224"/>
      <c r="L224"/>
      <c r="M224"/>
      <c r="N224"/>
      <c r="P224"/>
      <c r="Q224"/>
      <c r="R224"/>
    </row>
    <row r="225" spans="3:18" x14ac:dyDescent="0.2">
      <c r="C225"/>
      <c r="D225"/>
      <c r="E225"/>
      <c r="F225"/>
      <c r="G225"/>
      <c r="H225"/>
      <c r="I225"/>
      <c r="J225"/>
      <c r="K225"/>
      <c r="L225"/>
      <c r="M225"/>
      <c r="N225"/>
      <c r="P225"/>
      <c r="Q225"/>
      <c r="R225"/>
    </row>
    <row r="226" spans="3:18" x14ac:dyDescent="0.2">
      <c r="C226"/>
      <c r="D226"/>
      <c r="E226"/>
      <c r="F226"/>
      <c r="G226"/>
      <c r="H226"/>
      <c r="I226"/>
      <c r="J226"/>
      <c r="K226"/>
      <c r="L226"/>
      <c r="M226"/>
      <c r="N226"/>
      <c r="P226"/>
      <c r="Q226"/>
      <c r="R226"/>
    </row>
    <row r="227" spans="3:18" x14ac:dyDescent="0.2">
      <c r="C227"/>
      <c r="D227"/>
      <c r="E227"/>
      <c r="F227"/>
      <c r="G227"/>
      <c r="H227"/>
      <c r="I227"/>
      <c r="J227"/>
      <c r="K227"/>
      <c r="L227"/>
      <c r="M227"/>
      <c r="N227"/>
      <c r="P227"/>
      <c r="Q227"/>
      <c r="R227"/>
    </row>
    <row r="228" spans="3:18" x14ac:dyDescent="0.2">
      <c r="C228"/>
      <c r="D228"/>
      <c r="E228"/>
      <c r="F228"/>
      <c r="G228"/>
      <c r="H228"/>
      <c r="I228"/>
      <c r="J228"/>
      <c r="K228"/>
      <c r="L228"/>
      <c r="M228"/>
      <c r="N228"/>
      <c r="P228"/>
      <c r="Q228"/>
      <c r="R228"/>
    </row>
    <row r="229" spans="3:18" x14ac:dyDescent="0.2">
      <c r="C229"/>
      <c r="D229"/>
      <c r="E229"/>
      <c r="F229"/>
      <c r="G229"/>
      <c r="H229"/>
      <c r="I229"/>
      <c r="J229"/>
      <c r="K229"/>
      <c r="L229"/>
      <c r="M229"/>
      <c r="N229"/>
      <c r="P229"/>
      <c r="Q229"/>
      <c r="R229"/>
    </row>
    <row r="230" spans="3:18" x14ac:dyDescent="0.2">
      <c r="C230"/>
      <c r="D230"/>
      <c r="E230"/>
      <c r="F230"/>
      <c r="G230"/>
      <c r="H230"/>
      <c r="I230"/>
      <c r="J230"/>
      <c r="K230"/>
      <c r="L230"/>
      <c r="M230"/>
      <c r="N230"/>
      <c r="P230"/>
      <c r="Q230"/>
      <c r="R230"/>
    </row>
    <row r="231" spans="3:18" x14ac:dyDescent="0.2">
      <c r="C231"/>
      <c r="D231"/>
      <c r="E231"/>
      <c r="F231"/>
      <c r="G231"/>
      <c r="H231"/>
      <c r="I231"/>
      <c r="J231"/>
      <c r="K231"/>
      <c r="L231"/>
      <c r="M231"/>
      <c r="N231"/>
      <c r="P231"/>
      <c r="Q231"/>
      <c r="R231"/>
    </row>
    <row r="232" spans="3:18" x14ac:dyDescent="0.2">
      <c r="C232"/>
      <c r="D232"/>
      <c r="E232"/>
      <c r="F232"/>
      <c r="G232"/>
      <c r="H232"/>
      <c r="I232"/>
      <c r="J232"/>
      <c r="K232"/>
      <c r="L232"/>
      <c r="M232"/>
      <c r="N232"/>
      <c r="P232"/>
      <c r="Q232"/>
      <c r="R232"/>
    </row>
    <row r="233" spans="3:18" x14ac:dyDescent="0.2">
      <c r="C233"/>
      <c r="D233"/>
      <c r="E233"/>
      <c r="F233"/>
      <c r="G233"/>
      <c r="H233"/>
      <c r="I233"/>
      <c r="J233"/>
      <c r="K233"/>
      <c r="L233"/>
      <c r="M233"/>
      <c r="N233"/>
      <c r="P233"/>
      <c r="Q233"/>
      <c r="R233"/>
    </row>
    <row r="234" spans="3:18" x14ac:dyDescent="0.2">
      <c r="C234"/>
      <c r="D234"/>
      <c r="E234"/>
      <c r="F234"/>
      <c r="G234"/>
      <c r="H234"/>
      <c r="I234"/>
      <c r="J234"/>
      <c r="K234"/>
      <c r="L234"/>
      <c r="M234"/>
      <c r="N234"/>
      <c r="P234"/>
      <c r="Q234"/>
      <c r="R234"/>
    </row>
    <row r="235" spans="3:18" x14ac:dyDescent="0.2">
      <c r="C235"/>
      <c r="D235"/>
      <c r="E235"/>
      <c r="F235"/>
      <c r="G235"/>
      <c r="H235"/>
      <c r="I235"/>
      <c r="J235"/>
      <c r="K235"/>
      <c r="L235"/>
      <c r="M235"/>
      <c r="N235"/>
      <c r="P235"/>
      <c r="Q235"/>
      <c r="R235"/>
    </row>
    <row r="236" spans="3:18" x14ac:dyDescent="0.2">
      <c r="C236"/>
      <c r="D236"/>
      <c r="E236"/>
      <c r="F236"/>
      <c r="G236"/>
      <c r="H236"/>
      <c r="I236"/>
      <c r="J236"/>
      <c r="K236"/>
      <c r="L236"/>
      <c r="M236"/>
      <c r="N236"/>
      <c r="P236"/>
      <c r="Q236"/>
      <c r="R236"/>
    </row>
    <row r="237" spans="3:18" x14ac:dyDescent="0.2">
      <c r="C237"/>
      <c r="D237"/>
      <c r="E237"/>
      <c r="F237"/>
      <c r="G237"/>
      <c r="H237"/>
      <c r="I237"/>
      <c r="J237"/>
      <c r="K237"/>
      <c r="L237"/>
      <c r="M237"/>
      <c r="N237"/>
      <c r="P237"/>
      <c r="Q237"/>
      <c r="R237"/>
    </row>
    <row r="238" spans="3:18" x14ac:dyDescent="0.2">
      <c r="C238"/>
      <c r="D238"/>
      <c r="E238"/>
      <c r="F238"/>
      <c r="G238"/>
      <c r="H238"/>
      <c r="I238"/>
      <c r="J238"/>
      <c r="K238"/>
      <c r="L238"/>
      <c r="M238"/>
      <c r="N238"/>
      <c r="P238"/>
      <c r="Q238"/>
      <c r="R238"/>
    </row>
    <row r="239" spans="3:18" x14ac:dyDescent="0.2">
      <c r="C239"/>
      <c r="D239"/>
      <c r="E239"/>
      <c r="F239"/>
      <c r="G239"/>
      <c r="H239"/>
      <c r="I239"/>
      <c r="J239"/>
      <c r="K239"/>
      <c r="L239"/>
      <c r="M239"/>
      <c r="N239"/>
      <c r="P239"/>
      <c r="Q239"/>
      <c r="R239"/>
    </row>
    <row r="240" spans="3:18" x14ac:dyDescent="0.2">
      <c r="C240"/>
      <c r="D240"/>
      <c r="E240"/>
      <c r="F240"/>
      <c r="G240"/>
      <c r="H240"/>
      <c r="I240"/>
      <c r="J240"/>
      <c r="K240"/>
      <c r="L240"/>
      <c r="M240"/>
      <c r="N240"/>
      <c r="P240"/>
      <c r="Q240"/>
      <c r="R240"/>
    </row>
    <row r="241" spans="3:18" x14ac:dyDescent="0.2">
      <c r="C241"/>
      <c r="D241"/>
      <c r="E241"/>
      <c r="F241"/>
      <c r="G241"/>
      <c r="H241"/>
      <c r="I241"/>
      <c r="J241"/>
      <c r="K241"/>
      <c r="L241"/>
      <c r="M241"/>
      <c r="N241"/>
      <c r="P241"/>
      <c r="Q241"/>
      <c r="R241"/>
    </row>
    <row r="242" spans="3:18" x14ac:dyDescent="0.2">
      <c r="C242"/>
      <c r="D242"/>
      <c r="E242"/>
      <c r="F242"/>
      <c r="G242"/>
      <c r="H242"/>
      <c r="I242"/>
      <c r="J242"/>
      <c r="K242"/>
      <c r="L242"/>
      <c r="M242"/>
      <c r="N242"/>
      <c r="P242"/>
      <c r="Q242"/>
      <c r="R242"/>
    </row>
    <row r="243" spans="3:18" x14ac:dyDescent="0.2">
      <c r="C243"/>
      <c r="D243"/>
      <c r="E243"/>
      <c r="F243"/>
      <c r="G243"/>
      <c r="H243"/>
      <c r="I243"/>
      <c r="J243"/>
      <c r="K243"/>
      <c r="L243"/>
      <c r="M243"/>
      <c r="N243"/>
      <c r="P243"/>
      <c r="Q243"/>
      <c r="R243"/>
    </row>
    <row r="244" spans="3:18" x14ac:dyDescent="0.2">
      <c r="C244"/>
      <c r="D244"/>
      <c r="E244"/>
      <c r="F244"/>
      <c r="G244"/>
      <c r="H244"/>
      <c r="I244"/>
      <c r="J244"/>
      <c r="K244"/>
      <c r="L244"/>
      <c r="M244"/>
      <c r="N244"/>
      <c r="P244"/>
      <c r="Q244"/>
      <c r="R244"/>
    </row>
    <row r="245" spans="3:18" x14ac:dyDescent="0.2">
      <c r="C245"/>
      <c r="D245"/>
      <c r="E245"/>
      <c r="F245"/>
      <c r="G245"/>
      <c r="H245"/>
      <c r="I245"/>
      <c r="J245"/>
      <c r="K245"/>
      <c r="L245"/>
      <c r="M245"/>
      <c r="N245"/>
      <c r="P245"/>
      <c r="Q245"/>
      <c r="R245"/>
    </row>
    <row r="246" spans="3:18" x14ac:dyDescent="0.2">
      <c r="C246"/>
      <c r="D246"/>
      <c r="E246"/>
      <c r="F246"/>
      <c r="G246"/>
      <c r="H246"/>
      <c r="I246"/>
      <c r="J246"/>
      <c r="K246"/>
      <c r="L246"/>
      <c r="M246"/>
      <c r="N246"/>
      <c r="P246"/>
      <c r="Q246"/>
      <c r="R246"/>
    </row>
    <row r="247" spans="3:18" x14ac:dyDescent="0.2">
      <c r="C247"/>
      <c r="D247"/>
      <c r="E247"/>
      <c r="F247"/>
      <c r="G247"/>
      <c r="H247"/>
      <c r="I247"/>
      <c r="J247"/>
      <c r="K247"/>
      <c r="L247"/>
      <c r="M247"/>
      <c r="N247"/>
      <c r="P247"/>
      <c r="Q247"/>
      <c r="R247"/>
    </row>
    <row r="248" spans="3:18" x14ac:dyDescent="0.2">
      <c r="C248"/>
      <c r="D248"/>
      <c r="E248"/>
      <c r="F248"/>
      <c r="G248"/>
      <c r="H248"/>
      <c r="I248"/>
      <c r="J248"/>
      <c r="K248"/>
      <c r="L248"/>
      <c r="M248"/>
      <c r="N248"/>
      <c r="P248"/>
      <c r="Q248"/>
      <c r="R248"/>
    </row>
    <row r="249" spans="3:18" x14ac:dyDescent="0.2">
      <c r="C249"/>
      <c r="D249"/>
      <c r="E249"/>
      <c r="F249"/>
      <c r="G249"/>
      <c r="H249"/>
      <c r="I249"/>
      <c r="J249"/>
      <c r="K249"/>
      <c r="L249"/>
      <c r="M249"/>
      <c r="N249"/>
      <c r="P249"/>
      <c r="Q249"/>
      <c r="R249"/>
    </row>
    <row r="250" spans="3:18" x14ac:dyDescent="0.2">
      <c r="C250"/>
      <c r="D250"/>
      <c r="E250"/>
      <c r="F250"/>
      <c r="G250"/>
      <c r="H250"/>
      <c r="I250"/>
      <c r="J250"/>
      <c r="K250"/>
      <c r="L250"/>
      <c r="M250"/>
      <c r="N250"/>
      <c r="P250"/>
      <c r="Q250"/>
      <c r="R250"/>
    </row>
  </sheetData>
  <sheetProtection sheet="1" objects="1" scenarios="1"/>
  <mergeCells count="2">
    <mergeCell ref="D8:D9"/>
    <mergeCell ref="AK49:AL49"/>
  </mergeCells>
  <phoneticPr fontId="0" type="noConversion"/>
  <printOptions horizontalCentered="1"/>
  <pageMargins left="0.59055118110236227" right="0.39370078740157483" top="0.6692913385826772" bottom="0.6692913385826772" header="0.19685039370078741" footer="0.19685039370078741"/>
  <pageSetup paperSize="9" scale="52" firstPageNumber="8" orientation="portrait" cellComments="asDisplayed" useFirstPageNumber="1" r:id="rId1"/>
  <headerFooter alignWithMargins="0">
    <oddFooter>&amp;L LEL Schwäb. Gmünd &amp;D&amp;C&amp;"Arial,Fett"&amp;12&amp;P&amp;RKalkulationsdaten Milchviehhaltung; &amp;F  &amp;A</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FF00"/>
    <pageSetUpPr fitToPage="1"/>
  </sheetPr>
  <dimension ref="A1:AB93"/>
  <sheetViews>
    <sheetView showGridLines="0" showZeros="0" zoomScaleNormal="100" workbookViewId="0">
      <pane ySplit="1" topLeftCell="A2" activePane="bottomLeft" state="frozen"/>
      <selection activeCell="N4" sqref="N4"/>
      <selection pane="bottomLeft"/>
    </sheetView>
  </sheetViews>
  <sheetFormatPr baseColWidth="10" defaultColWidth="11.5703125" defaultRowHeight="12.75" x14ac:dyDescent="0.2"/>
  <cols>
    <col min="1" max="1" width="2" style="108" customWidth="1"/>
    <col min="2" max="2" width="1.140625" style="130" customWidth="1"/>
    <col min="3" max="3" width="5.42578125" style="130" customWidth="1"/>
    <col min="4" max="4" width="25.85546875" style="130" customWidth="1"/>
    <col min="5" max="5" width="11.85546875" style="130" customWidth="1"/>
    <col min="6" max="6" width="8.42578125" style="130" customWidth="1"/>
    <col min="7" max="7" width="8.85546875" style="120" customWidth="1"/>
    <col min="8" max="12" width="7.28515625" style="120" customWidth="1"/>
    <col min="13" max="13" width="8.7109375" style="130" customWidth="1"/>
    <col min="14" max="14" width="3.42578125" style="130" customWidth="1"/>
    <col min="15" max="16384" width="11.5703125" style="108"/>
  </cols>
  <sheetData>
    <row r="1" spans="1:25" ht="22.15" customHeight="1" x14ac:dyDescent="0.2">
      <c r="A1" s="2503"/>
      <c r="B1" s="2503"/>
      <c r="C1" s="2503"/>
      <c r="D1" s="2503"/>
      <c r="E1" s="2503"/>
      <c r="F1" s="2503"/>
      <c r="G1" s="2503"/>
      <c r="H1" s="2503"/>
      <c r="I1" s="2503"/>
      <c r="J1" s="2503"/>
      <c r="K1" s="2503"/>
      <c r="L1" s="2503"/>
      <c r="M1" s="2503"/>
      <c r="N1" s="2503"/>
    </row>
    <row r="2" spans="1:25" ht="24.75" customHeight="1" x14ac:dyDescent="0.2">
      <c r="A2" s="2503"/>
      <c r="B2" s="206" t="s">
        <v>1054</v>
      </c>
      <c r="C2" s="168"/>
      <c r="D2" s="168"/>
      <c r="E2" s="1698"/>
      <c r="G2" s="170"/>
      <c r="H2" s="170"/>
      <c r="I2" s="170"/>
      <c r="J2" s="170"/>
      <c r="K2" s="168"/>
      <c r="L2" s="168"/>
      <c r="M2" s="19"/>
      <c r="N2" s="2503"/>
    </row>
    <row r="3" spans="1:25" ht="21.2" customHeight="1" x14ac:dyDescent="0.2">
      <c r="A3" s="2503"/>
      <c r="B3" s="171" t="s">
        <v>879</v>
      </c>
      <c r="C3"/>
      <c r="D3" s="551">
        <f>Preise!D3</f>
        <v>44531</v>
      </c>
      <c r="E3"/>
      <c r="F3" s="172"/>
      <c r="G3"/>
      <c r="H3" s="169" t="s">
        <v>1009</v>
      </c>
      <c r="I3" s="170"/>
      <c r="J3" s="170"/>
      <c r="K3" s="173"/>
      <c r="L3" s="173"/>
      <c r="M3" s="205">
        <f>Stammdaten!AI5</f>
        <v>2022</v>
      </c>
      <c r="N3" s="2503"/>
    </row>
    <row r="4" spans="1:25" ht="21.6" customHeight="1" x14ac:dyDescent="0.2">
      <c r="A4" s="2503"/>
      <c r="B4" s="1699"/>
      <c r="E4"/>
      <c r="F4" s="172"/>
      <c r="G4"/>
      <c r="H4" s="169"/>
      <c r="I4" s="170"/>
      <c r="J4" s="170"/>
      <c r="K4" s="173"/>
      <c r="L4" s="173"/>
      <c r="M4" s="205"/>
      <c r="N4" s="2503"/>
    </row>
    <row r="5" spans="1:25" ht="27" customHeight="1" x14ac:dyDescent="0.2">
      <c r="A5" s="2503"/>
      <c r="B5" s="176" t="s">
        <v>1281</v>
      </c>
      <c r="C5" s="168"/>
      <c r="D5" s="168"/>
      <c r="E5" s="168"/>
      <c r="F5" s="168"/>
      <c r="G5" s="168"/>
      <c r="H5" s="168"/>
      <c r="I5" s="168"/>
      <c r="J5" s="168"/>
      <c r="K5" s="168"/>
      <c r="L5" s="168"/>
      <c r="M5" s="168"/>
      <c r="N5" s="2503"/>
    </row>
    <row r="6" spans="1:25" ht="18" x14ac:dyDescent="0.2">
      <c r="A6" s="2503"/>
      <c r="B6" s="177"/>
      <c r="C6" s="195" t="s">
        <v>1273</v>
      </c>
      <c r="D6" s="259"/>
      <c r="E6" s="202"/>
      <c r="F6" s="202"/>
      <c r="G6" s="216"/>
      <c r="H6" s="216"/>
      <c r="I6" s="216"/>
      <c r="J6" s="216"/>
      <c r="K6" s="216"/>
      <c r="L6" s="216"/>
      <c r="M6" s="217" t="s">
        <v>979</v>
      </c>
      <c r="N6" s="2503"/>
    </row>
    <row r="7" spans="1:25" ht="18" x14ac:dyDescent="0.2">
      <c r="A7" s="2503"/>
      <c r="B7" s="214"/>
      <c r="C7" s="138"/>
      <c r="D7" s="138"/>
      <c r="E7" s="138"/>
      <c r="F7" s="170"/>
      <c r="G7" s="182">
        <v>2016</v>
      </c>
      <c r="H7" s="182">
        <v>2017</v>
      </c>
      <c r="I7" s="182">
        <v>2018</v>
      </c>
      <c r="J7" s="182">
        <v>2021</v>
      </c>
      <c r="K7" s="182">
        <v>2022</v>
      </c>
      <c r="L7" s="2747">
        <v>2023</v>
      </c>
      <c r="M7" s="64">
        <f>M3</f>
        <v>2022</v>
      </c>
      <c r="N7" s="2503"/>
      <c r="Q7">
        <f>ROWS($Q$7:Q7)</f>
        <v>1</v>
      </c>
      <c r="R7"/>
      <c r="S7"/>
      <c r="T7"/>
      <c r="U7"/>
      <c r="V7"/>
      <c r="W7"/>
      <c r="X7"/>
      <c r="Y7"/>
    </row>
    <row r="8" spans="1:25" ht="15" x14ac:dyDescent="0.2">
      <c r="A8" s="2503"/>
      <c r="B8" s="415"/>
      <c r="C8" s="196" t="s">
        <v>1272</v>
      </c>
      <c r="D8" s="16"/>
      <c r="E8" s="138"/>
      <c r="F8" s="516" t="s">
        <v>1058</v>
      </c>
      <c r="G8" s="2089">
        <v>270</v>
      </c>
      <c r="H8" s="2089">
        <v>270</v>
      </c>
      <c r="I8" s="2089">
        <v>270</v>
      </c>
      <c r="J8" s="274">
        <v>270</v>
      </c>
      <c r="K8" s="274">
        <v>270</v>
      </c>
      <c r="L8" s="274"/>
      <c r="M8" s="490">
        <f>HLOOKUP($M$7,$G$7:$L9,Q8,FALSE)</f>
        <v>270</v>
      </c>
      <c r="N8" s="2503"/>
      <c r="Q8">
        <f>ROWS($Q$7:Q8)</f>
        <v>2</v>
      </c>
      <c r="R8"/>
      <c r="S8"/>
      <c r="T8"/>
      <c r="U8"/>
      <c r="V8"/>
      <c r="W8"/>
      <c r="X8"/>
    </row>
    <row r="9" spans="1:25" ht="15.6" customHeight="1" x14ac:dyDescent="0.2">
      <c r="A9" s="2503"/>
      <c r="B9" s="415"/>
      <c r="C9" s="196"/>
      <c r="D9" s="16"/>
      <c r="E9" s="138"/>
      <c r="F9" s="3048"/>
      <c r="G9" s="2089"/>
      <c r="H9" s="2089"/>
      <c r="I9" s="2089"/>
      <c r="J9" s="2758"/>
      <c r="K9" s="2758"/>
      <c r="L9" s="2759"/>
      <c r="M9" s="2757">
        <f>HLOOKUP($M$7,$G$7:$L10,Q9,FALSE)</f>
        <v>0</v>
      </c>
      <c r="N9" s="2503"/>
      <c r="Q9">
        <f>ROWS($Q$7:Q9)</f>
        <v>3</v>
      </c>
      <c r="R9"/>
      <c r="S9"/>
      <c r="T9"/>
      <c r="U9"/>
      <c r="V9"/>
      <c r="W9"/>
      <c r="X9"/>
    </row>
    <row r="10" spans="1:25" ht="20.45" customHeight="1" x14ac:dyDescent="0.2">
      <c r="A10" s="2503"/>
      <c r="B10" s="118"/>
      <c r="C10" s="3020" t="s">
        <v>1280</v>
      </c>
      <c r="D10" s="28"/>
      <c r="G10" s="2051"/>
      <c r="H10" s="2051"/>
      <c r="I10" s="2051"/>
      <c r="J10" s="2051"/>
      <c r="K10" s="2051"/>
      <c r="L10" s="2051"/>
      <c r="N10" s="2503"/>
    </row>
    <row r="11" spans="1:25" ht="20.45" customHeight="1" x14ac:dyDescent="0.2">
      <c r="A11" s="2503"/>
      <c r="B11" s="118"/>
      <c r="C11" s="3009" t="s">
        <v>1494</v>
      </c>
      <c r="D11" s="28"/>
      <c r="G11" s="2051"/>
      <c r="H11" s="2051"/>
      <c r="I11" s="2051"/>
      <c r="J11" s="2051"/>
      <c r="K11" s="2051"/>
      <c r="L11" s="2051"/>
      <c r="N11" s="2503"/>
    </row>
    <row r="12" spans="1:25" ht="13.7" customHeight="1" x14ac:dyDescent="0.2">
      <c r="A12" s="2503"/>
      <c r="B12" s="118"/>
      <c r="C12" s="3009" t="s">
        <v>1496</v>
      </c>
      <c r="D12" s="28"/>
      <c r="G12" s="2051"/>
      <c r="H12" s="2051"/>
      <c r="I12" s="2051"/>
      <c r="J12" s="2051"/>
      <c r="K12" s="2051"/>
      <c r="L12" s="2051"/>
      <c r="N12" s="2503"/>
    </row>
    <row r="13" spans="1:25" ht="12.75" customHeight="1" x14ac:dyDescent="0.2">
      <c r="A13" s="2503"/>
      <c r="B13" s="118"/>
      <c r="C13" s="3009" t="s">
        <v>1495</v>
      </c>
      <c r="D13" s="28"/>
      <c r="G13" s="2051"/>
      <c r="H13" s="2051"/>
      <c r="I13" s="2051"/>
      <c r="J13" s="2051"/>
      <c r="K13" s="2051"/>
      <c r="L13" s="2051"/>
      <c r="N13" s="2503"/>
    </row>
    <row r="14" spans="1:25" ht="19.149999999999999" customHeight="1" x14ac:dyDescent="0.2">
      <c r="A14" s="2503"/>
      <c r="B14" s="118"/>
      <c r="D14" s="28"/>
      <c r="G14" s="2051"/>
      <c r="H14" s="2051"/>
      <c r="I14" s="2051"/>
      <c r="J14" s="2051"/>
      <c r="K14" s="2051"/>
      <c r="L14" s="2051"/>
      <c r="N14" s="2503"/>
    </row>
    <row r="15" spans="1:25" ht="25.5" customHeight="1" x14ac:dyDescent="0.2">
      <c r="A15" s="2503"/>
      <c r="B15" s="176" t="s">
        <v>1279</v>
      </c>
      <c r="C15" s="168"/>
      <c r="D15" s="168"/>
      <c r="E15" s="168"/>
      <c r="F15" s="168"/>
      <c r="G15" s="168"/>
      <c r="H15" s="168"/>
      <c r="I15" s="168"/>
      <c r="J15" s="168"/>
      <c r="K15" s="168"/>
      <c r="L15" s="168"/>
      <c r="M15" s="168"/>
      <c r="N15" s="2503"/>
    </row>
    <row r="16" spans="1:25" ht="25.5" customHeight="1" x14ac:dyDescent="0.2">
      <c r="A16" s="2503"/>
      <c r="B16" s="3940" t="s">
        <v>1275</v>
      </c>
      <c r="C16" s="3941"/>
      <c r="D16" s="3941"/>
      <c r="E16" s="3941"/>
      <c r="F16" s="3941"/>
      <c r="G16" s="3941"/>
      <c r="H16" s="3941"/>
      <c r="I16" s="3941"/>
      <c r="J16" s="3941"/>
      <c r="K16" s="3941"/>
      <c r="L16" s="3941"/>
      <c r="M16" s="3941"/>
      <c r="N16" s="2503"/>
    </row>
    <row r="17" spans="1:28" ht="25.5" customHeight="1" x14ac:dyDescent="0.2">
      <c r="A17" s="2503"/>
      <c r="B17" s="3942"/>
      <c r="C17" s="3942"/>
      <c r="D17" s="3942"/>
      <c r="E17" s="3942"/>
      <c r="F17" s="3942"/>
      <c r="G17" s="3942"/>
      <c r="H17" s="3942"/>
      <c r="I17" s="3942"/>
      <c r="J17" s="3942"/>
      <c r="K17" s="3942"/>
      <c r="L17" s="3942"/>
      <c r="M17" s="3942"/>
      <c r="N17" s="2503"/>
    </row>
    <row r="18" spans="1:28" ht="22.7" customHeight="1" x14ac:dyDescent="0.2">
      <c r="A18" s="2503"/>
      <c r="B18" s="177"/>
      <c r="C18" s="115" t="s">
        <v>1276</v>
      </c>
      <c r="D18" s="259"/>
      <c r="E18" s="202"/>
      <c r="F18" s="202"/>
      <c r="G18" s="216"/>
      <c r="H18" s="216"/>
      <c r="I18" s="216"/>
      <c r="J18" s="216"/>
      <c r="K18" s="216"/>
      <c r="L18" s="3024"/>
      <c r="M18" s="217" t="s">
        <v>979</v>
      </c>
      <c r="N18" s="2503"/>
    </row>
    <row r="19" spans="1:28" ht="23.1" customHeight="1" x14ac:dyDescent="0.2">
      <c r="A19" s="2503"/>
      <c r="B19" s="1706"/>
      <c r="C19" s="498" t="s">
        <v>1274</v>
      </c>
      <c r="D19" s="1704"/>
      <c r="E19" s="1704"/>
      <c r="F19" s="2256"/>
      <c r="G19" s="3838"/>
      <c r="H19" s="182">
        <v>2017</v>
      </c>
      <c r="I19" s="182">
        <v>2018</v>
      </c>
      <c r="J19" s="182">
        <v>2021</v>
      </c>
      <c r="K19" s="182">
        <v>2022</v>
      </c>
      <c r="L19" s="2747">
        <v>2023</v>
      </c>
      <c r="M19" s="64">
        <f>M3</f>
        <v>2022</v>
      </c>
      <c r="N19" s="2503"/>
    </row>
    <row r="20" spans="1:28" s="164" customFormat="1" ht="4.7" customHeight="1" x14ac:dyDescent="0.2">
      <c r="A20" s="2503"/>
      <c r="B20" s="293"/>
      <c r="C20" s="519"/>
      <c r="D20" s="202"/>
      <c r="E20" s="130"/>
      <c r="F20" s="3836"/>
      <c r="G20" s="224"/>
      <c r="H20" s="2987"/>
      <c r="I20" s="2986"/>
      <c r="J20" s="2986"/>
      <c r="K20" s="2987"/>
      <c r="L20" s="2173"/>
      <c r="M20" s="2988"/>
      <c r="N20" s="2503"/>
    </row>
    <row r="21" spans="1:28" s="164" customFormat="1" ht="25.15" customHeight="1" x14ac:dyDescent="0.2">
      <c r="A21" s="2503"/>
      <c r="B21" s="21"/>
      <c r="C21" s="172" t="s">
        <v>1493</v>
      </c>
      <c r="D21" s="28"/>
      <c r="E21" s="118"/>
      <c r="F21" s="3834"/>
      <c r="G21" s="224"/>
      <c r="H21" s="693">
        <v>50</v>
      </c>
      <c r="I21" s="218">
        <v>50</v>
      </c>
      <c r="J21" s="218">
        <v>50</v>
      </c>
      <c r="K21" s="693">
        <v>50</v>
      </c>
      <c r="L21" s="224"/>
      <c r="M21" s="219">
        <f>HLOOKUP($M$19,$G$19:$L$28,3,FALSE)</f>
        <v>50</v>
      </c>
      <c r="N21" s="2503"/>
    </row>
    <row r="22" spans="1:28" s="164" customFormat="1" ht="18" customHeight="1" x14ac:dyDescent="0.2">
      <c r="A22" s="2503"/>
      <c r="B22" s="21"/>
      <c r="C22" s="258" t="s">
        <v>1277</v>
      </c>
      <c r="D22" s="28"/>
      <c r="E22" s="130"/>
      <c r="F22" s="481"/>
      <c r="G22" s="224"/>
      <c r="H22" s="693">
        <v>100</v>
      </c>
      <c r="I22" s="3153">
        <v>100</v>
      </c>
      <c r="J22" s="274">
        <v>100</v>
      </c>
      <c r="K22" s="274">
        <v>100</v>
      </c>
      <c r="L22" s="274"/>
      <c r="M22" s="219">
        <f>HLOOKUP($M$19,$G$19:$L$28,4,FALSE)</f>
        <v>100</v>
      </c>
      <c r="N22" s="2503"/>
    </row>
    <row r="23" spans="1:28" s="164" customFormat="1" ht="18" customHeight="1" x14ac:dyDescent="0.2">
      <c r="A23" s="2503"/>
      <c r="B23" s="21"/>
      <c r="C23" s="453" t="s">
        <v>1278</v>
      </c>
      <c r="D23" s="28"/>
      <c r="E23" s="130"/>
      <c r="F23" s="3835"/>
      <c r="G23" s="3833"/>
      <c r="H23" s="3839">
        <v>70</v>
      </c>
      <c r="I23" s="3153">
        <v>70</v>
      </c>
      <c r="J23" s="274">
        <v>70</v>
      </c>
      <c r="K23" s="274">
        <v>70</v>
      </c>
      <c r="L23" s="274"/>
      <c r="M23" s="219">
        <f>HLOOKUP($M$19,$G$19:$L$28,5,FALSE)</f>
        <v>70</v>
      </c>
      <c r="N23" s="2503"/>
    </row>
    <row r="24" spans="1:28" ht="9.6" customHeight="1" x14ac:dyDescent="0.2">
      <c r="A24" s="2503"/>
      <c r="B24" s="21"/>
      <c r="C24" s="108"/>
      <c r="D24" s="28"/>
      <c r="E24" s="454"/>
      <c r="F24" s="481"/>
      <c r="G24" s="3833"/>
      <c r="H24" s="3839"/>
      <c r="I24" s="2505"/>
      <c r="J24" s="218"/>
      <c r="K24" s="693"/>
      <c r="L24" s="224"/>
      <c r="M24" s="520">
        <f>HLOOKUP($M$19,$G$19:$L$28,6,FALSE)</f>
        <v>0</v>
      </c>
      <c r="N24" s="2503"/>
    </row>
    <row r="25" spans="1:28" ht="22.7" customHeight="1" x14ac:dyDescent="0.2">
      <c r="A25" s="2503"/>
      <c r="B25" s="450"/>
      <c r="C25" s="258" t="s">
        <v>1289</v>
      </c>
      <c r="D25" s="2989"/>
      <c r="E25" s="167"/>
      <c r="F25" s="507"/>
      <c r="G25" s="224"/>
      <c r="H25" s="693">
        <v>170</v>
      </c>
      <c r="I25" s="3153">
        <v>170</v>
      </c>
      <c r="J25" s="274">
        <v>170</v>
      </c>
      <c r="K25" s="274">
        <v>170</v>
      </c>
      <c r="L25" s="274"/>
      <c r="M25" s="219">
        <f>HLOOKUP($M$19,$G$19:$L$28,7)</f>
        <v>170</v>
      </c>
      <c r="N25" s="2503"/>
    </row>
    <row r="26" spans="1:28" ht="19.5" customHeight="1" x14ac:dyDescent="0.2">
      <c r="A26" s="2503"/>
      <c r="B26" s="450"/>
      <c r="C26" s="258" t="s">
        <v>1290</v>
      </c>
      <c r="D26" s="2989"/>
      <c r="E26" s="167"/>
      <c r="F26" s="3835"/>
      <c r="G26" s="224"/>
      <c r="H26" s="693">
        <v>120</v>
      </c>
      <c r="I26" s="3153">
        <v>120</v>
      </c>
      <c r="J26" s="274">
        <v>120</v>
      </c>
      <c r="K26" s="274">
        <v>120</v>
      </c>
      <c r="L26" s="274"/>
      <c r="M26" s="3855">
        <f>HLOOKUP($M$19,$G$19:$L$28,8)</f>
        <v>120</v>
      </c>
      <c r="N26" s="2503"/>
    </row>
    <row r="27" spans="1:28" s="187" customFormat="1" ht="18" customHeight="1" x14ac:dyDescent="0.2">
      <c r="A27" s="2503"/>
      <c r="B27" s="21"/>
      <c r="C27" s="258" t="s">
        <v>1291</v>
      </c>
      <c r="D27" s="258"/>
      <c r="E27" s="454"/>
      <c r="F27" s="507"/>
      <c r="G27" s="224"/>
      <c r="H27" s="693">
        <v>250</v>
      </c>
      <c r="I27" s="3153">
        <v>250</v>
      </c>
      <c r="J27" s="274">
        <v>250</v>
      </c>
      <c r="K27" s="274">
        <v>250</v>
      </c>
      <c r="L27" s="274"/>
      <c r="M27" s="219">
        <f>HLOOKUP($M$19,$G$19:$L$28,9,FALSE)</f>
        <v>250</v>
      </c>
      <c r="N27" s="2503"/>
    </row>
    <row r="28" spans="1:28" s="187" customFormat="1" ht="11.65" customHeight="1" x14ac:dyDescent="0.2">
      <c r="A28" s="2503"/>
      <c r="B28" s="23"/>
      <c r="C28" s="225"/>
      <c r="D28" s="451"/>
      <c r="E28" s="455"/>
      <c r="F28" s="3837"/>
      <c r="G28" s="2751"/>
      <c r="H28" s="2752"/>
      <c r="I28" s="452"/>
      <c r="J28" s="452"/>
      <c r="K28" s="2752"/>
      <c r="L28" s="2751"/>
      <c r="M28" s="290">
        <f>HLOOKUP($M$19,$G$19:$L$28,10)</f>
        <v>0</v>
      </c>
      <c r="N28" s="2503"/>
    </row>
    <row r="29" spans="1:28" s="187" customFormat="1" ht="17.45" customHeight="1" x14ac:dyDescent="0.2">
      <c r="A29" s="2503"/>
      <c r="B29" s="3020" t="s">
        <v>1280</v>
      </c>
      <c r="C29" s="295"/>
      <c r="D29" s="204"/>
      <c r="E29" s="170"/>
      <c r="F29"/>
      <c r="G29"/>
      <c r="H29"/>
      <c r="I29"/>
      <c r="J29"/>
      <c r="K29"/>
      <c r="L29"/>
      <c r="M29"/>
      <c r="N29" s="2503"/>
    </row>
    <row r="30" spans="1:28" s="187" customFormat="1" ht="17.45" customHeight="1" x14ac:dyDescent="0.2">
      <c r="A30" s="2503"/>
      <c r="B30" s="2503"/>
      <c r="C30" s="2503"/>
      <c r="D30" s="2503"/>
      <c r="E30" s="2503"/>
      <c r="F30" s="2503"/>
      <c r="G30" s="2503"/>
      <c r="H30" s="2503"/>
      <c r="I30" s="2503"/>
      <c r="J30" s="2503"/>
      <c r="K30" s="2503"/>
      <c r="L30" s="2503"/>
      <c r="M30" s="2503"/>
      <c r="N30" s="2503"/>
    </row>
    <row r="31" spans="1:28" s="187" customFormat="1" ht="17.45" customHeight="1" x14ac:dyDescent="0.2">
      <c r="A31"/>
      <c r="B31"/>
      <c r="C31"/>
      <c r="D31"/>
      <c r="E31"/>
      <c r="F31"/>
      <c r="G31"/>
      <c r="H31"/>
      <c r="I31"/>
      <c r="J31"/>
      <c r="K31"/>
      <c r="L31"/>
      <c r="M31"/>
      <c r="N31"/>
      <c r="O31"/>
      <c r="P31"/>
      <c r="Q31"/>
      <c r="R31"/>
      <c r="S31"/>
      <c r="T31"/>
      <c r="U31"/>
      <c r="V31"/>
      <c r="W31" s="222"/>
      <c r="X31" s="222"/>
      <c r="Y31" s="222"/>
      <c r="Z31" s="222"/>
      <c r="AA31" s="222"/>
      <c r="AB31" s="170"/>
    </row>
    <row r="32" spans="1:28" s="187" customFormat="1" ht="18" customHeight="1" x14ac:dyDescent="0.2">
      <c r="A32"/>
      <c r="B32"/>
      <c r="C32"/>
      <c r="D32"/>
      <c r="E32"/>
      <c r="F32"/>
      <c r="G32"/>
      <c r="H32"/>
      <c r="I32"/>
      <c r="J32"/>
      <c r="K32"/>
      <c r="L32"/>
      <c r="M32"/>
      <c r="N32"/>
      <c r="O32"/>
      <c r="P32"/>
      <c r="Q32"/>
      <c r="R32"/>
      <c r="S32"/>
      <c r="T32"/>
      <c r="U32"/>
      <c r="V32"/>
      <c r="W32" s="222"/>
      <c r="X32" s="222"/>
      <c r="Y32" s="222"/>
      <c r="Z32" s="222"/>
      <c r="AA32" s="222"/>
      <c r="AB32" s="170"/>
    </row>
    <row r="33" spans="1:28" s="187" customFormat="1" ht="18" customHeight="1" x14ac:dyDescent="0.2">
      <c r="A33"/>
      <c r="B33"/>
      <c r="C33"/>
      <c r="D33"/>
      <c r="E33"/>
      <c r="F33"/>
      <c r="G33"/>
      <c r="H33"/>
      <c r="I33"/>
      <c r="J33"/>
      <c r="K33"/>
      <c r="L33"/>
      <c r="M33"/>
      <c r="N33"/>
      <c r="O33"/>
      <c r="P33"/>
      <c r="Q33"/>
      <c r="R33"/>
      <c r="S33"/>
      <c r="T33"/>
      <c r="U33"/>
      <c r="V33"/>
    </row>
    <row r="34" spans="1:28" s="187" customFormat="1" ht="21.75" customHeight="1" x14ac:dyDescent="0.2">
      <c r="A34"/>
      <c r="B34"/>
      <c r="C34"/>
      <c r="D34"/>
      <c r="E34"/>
      <c r="F34"/>
      <c r="G34"/>
      <c r="H34"/>
      <c r="I34"/>
      <c r="J34"/>
      <c r="K34"/>
      <c r="L34"/>
      <c r="M34"/>
      <c r="N34"/>
      <c r="O34"/>
    </row>
    <row r="35" spans="1:28" s="164" customFormat="1" ht="18" customHeight="1" x14ac:dyDescent="0.2">
      <c r="B35"/>
      <c r="C35"/>
      <c r="D35"/>
      <c r="E35"/>
      <c r="F35"/>
      <c r="G35"/>
      <c r="H35"/>
      <c r="I35"/>
      <c r="J35"/>
      <c r="K35"/>
      <c r="L35"/>
      <c r="M35"/>
      <c r="N35"/>
      <c r="O35"/>
    </row>
    <row r="36" spans="1:28" s="164" customFormat="1" ht="18" customHeight="1" x14ac:dyDescent="0.2">
      <c r="A36"/>
      <c r="B36"/>
      <c r="C36"/>
      <c r="D36"/>
      <c r="E36"/>
      <c r="F36"/>
      <c r="G36"/>
      <c r="H36"/>
      <c r="I36"/>
      <c r="J36"/>
      <c r="K36"/>
      <c r="L36"/>
      <c r="M36"/>
      <c r="N36"/>
      <c r="O36"/>
    </row>
    <row r="37" spans="1:28" s="164" customFormat="1" ht="18" customHeight="1" x14ac:dyDescent="0.2">
      <c r="A37"/>
      <c r="B37"/>
      <c r="C37"/>
      <c r="D37"/>
      <c r="E37"/>
      <c r="F37"/>
      <c r="G37"/>
      <c r="H37"/>
      <c r="I37"/>
      <c r="J37"/>
      <c r="K37"/>
      <c r="L37"/>
      <c r="M37"/>
      <c r="N37"/>
      <c r="O37"/>
    </row>
    <row r="38" spans="1:28" s="164" customFormat="1" ht="18" customHeight="1" x14ac:dyDescent="0.2">
      <c r="A38"/>
      <c r="B38"/>
      <c r="C38"/>
      <c r="D38"/>
      <c r="E38"/>
      <c r="F38"/>
      <c r="G38"/>
      <c r="H38"/>
      <c r="I38"/>
      <c r="J38"/>
      <c r="K38"/>
      <c r="L38"/>
      <c r="M38"/>
      <c r="N38"/>
      <c r="O38"/>
    </row>
    <row r="39" spans="1:28" s="164" customFormat="1" ht="18" customHeight="1" x14ac:dyDescent="0.2">
      <c r="A39"/>
      <c r="B39"/>
      <c r="C39"/>
      <c r="D39"/>
      <c r="E39"/>
      <c r="F39"/>
      <c r="G39"/>
      <c r="H39"/>
      <c r="I39"/>
      <c r="J39"/>
      <c r="K39"/>
      <c r="L39"/>
      <c r="M39"/>
      <c r="N39"/>
      <c r="O39"/>
    </row>
    <row r="40" spans="1:28" s="164" customFormat="1" ht="18" customHeight="1" x14ac:dyDescent="0.2">
      <c r="A40"/>
      <c r="B40"/>
      <c r="C40"/>
      <c r="D40"/>
      <c r="E40"/>
      <c r="F40"/>
      <c r="G40"/>
      <c r="H40"/>
      <c r="I40"/>
      <c r="J40"/>
      <c r="K40"/>
      <c r="L40"/>
      <c r="M40"/>
      <c r="N40"/>
      <c r="O40"/>
    </row>
    <row r="41" spans="1:28" s="164" customFormat="1" ht="15.75" customHeight="1" x14ac:dyDescent="0.2">
      <c r="A41"/>
      <c r="B41"/>
      <c r="C41"/>
      <c r="D41"/>
      <c r="E41"/>
      <c r="F41"/>
      <c r="G41"/>
      <c r="H41"/>
      <c r="I41"/>
      <c r="J41"/>
      <c r="K41"/>
      <c r="L41"/>
      <c r="M41"/>
      <c r="N41"/>
      <c r="O41"/>
    </row>
    <row r="42" spans="1:28" s="164" customFormat="1" ht="17.45" customHeight="1" x14ac:dyDescent="0.2">
      <c r="A42"/>
      <c r="B42"/>
      <c r="C42"/>
      <c r="D42"/>
      <c r="E42"/>
      <c r="F42"/>
      <c r="G42"/>
      <c r="H42"/>
      <c r="I42"/>
      <c r="J42"/>
      <c r="K42"/>
      <c r="L42"/>
      <c r="M42"/>
      <c r="N42"/>
      <c r="O42"/>
      <c r="P42"/>
      <c r="Q42"/>
      <c r="R42"/>
      <c r="S42"/>
      <c r="T42"/>
      <c r="U42"/>
      <c r="V42"/>
      <c r="W42"/>
      <c r="X42"/>
      <c r="Y42"/>
      <c r="Z42"/>
      <c r="AA42"/>
      <c r="AB42"/>
    </row>
    <row r="43" spans="1:28" s="164" customFormat="1" ht="27.75" customHeight="1" x14ac:dyDescent="0.2">
      <c r="A43"/>
      <c r="B43"/>
      <c r="C43"/>
      <c r="D43"/>
      <c r="E43"/>
      <c r="F43"/>
      <c r="G43"/>
      <c r="H43"/>
      <c r="I43"/>
      <c r="J43"/>
      <c r="K43"/>
      <c r="L43"/>
      <c r="M43"/>
      <c r="N43"/>
      <c r="O43"/>
      <c r="P43"/>
      <c r="Q43"/>
      <c r="R43"/>
      <c r="S43"/>
      <c r="T43"/>
      <c r="U43"/>
      <c r="V43"/>
      <c r="W43"/>
      <c r="X43"/>
      <c r="Y43"/>
      <c r="Z43"/>
      <c r="AA43"/>
      <c r="AB43"/>
    </row>
    <row r="44" spans="1:28" s="164" customFormat="1" ht="12.2" customHeight="1" x14ac:dyDescent="0.2">
      <c r="A44"/>
      <c r="B44"/>
      <c r="C44"/>
      <c r="D44"/>
      <c r="E44"/>
      <c r="F44"/>
      <c r="G44"/>
      <c r="H44"/>
      <c r="I44"/>
      <c r="J44"/>
      <c r="K44"/>
      <c r="L44"/>
      <c r="M44"/>
      <c r="N44"/>
      <c r="O44"/>
      <c r="P44"/>
      <c r="Q44"/>
      <c r="R44"/>
      <c r="S44"/>
      <c r="T44"/>
      <c r="U44"/>
      <c r="V44"/>
      <c r="W44"/>
      <c r="X44"/>
      <c r="Y44"/>
      <c r="Z44"/>
      <c r="AA44"/>
      <c r="AB44"/>
    </row>
    <row r="45" spans="1:28" s="164" customFormat="1" ht="18" customHeight="1" x14ac:dyDescent="0.2">
      <c r="A45"/>
      <c r="B45"/>
      <c r="C45"/>
      <c r="D45"/>
      <c r="E45"/>
      <c r="F45"/>
      <c r="G45"/>
      <c r="H45"/>
      <c r="I45"/>
      <c r="J45"/>
      <c r="K45"/>
      <c r="L45"/>
      <c r="M45"/>
      <c r="N45"/>
      <c r="O45"/>
      <c r="P45"/>
      <c r="Q45"/>
      <c r="R45"/>
      <c r="S45"/>
      <c r="T45"/>
      <c r="U45"/>
      <c r="V45"/>
      <c r="W45"/>
      <c r="X45"/>
      <c r="Y45"/>
      <c r="Z45"/>
      <c r="AA45"/>
      <c r="AB45"/>
    </row>
    <row r="46" spans="1:28" s="164" customFormat="1" ht="18" customHeight="1" x14ac:dyDescent="0.2">
      <c r="A46"/>
      <c r="B46"/>
      <c r="C46"/>
      <c r="D46"/>
      <c r="E46"/>
      <c r="F46"/>
      <c r="G46"/>
      <c r="H46"/>
      <c r="I46"/>
      <c r="J46"/>
      <c r="K46"/>
      <c r="L46"/>
      <c r="M46"/>
      <c r="N46"/>
      <c r="O46"/>
      <c r="P46"/>
      <c r="Q46"/>
      <c r="R46"/>
      <c r="S46"/>
      <c r="T46"/>
      <c r="U46"/>
      <c r="V46"/>
      <c r="W46"/>
      <c r="X46"/>
      <c r="Y46"/>
      <c r="Z46"/>
      <c r="AA46"/>
      <c r="AB46"/>
    </row>
    <row r="47" spans="1:28" s="164" customFormat="1" ht="20.25" customHeight="1" x14ac:dyDescent="0.2">
      <c r="A47"/>
      <c r="B47"/>
      <c r="C47"/>
      <c r="D47"/>
      <c r="E47"/>
      <c r="F47"/>
      <c r="G47"/>
      <c r="H47"/>
      <c r="I47"/>
      <c r="J47"/>
      <c r="K47"/>
      <c r="L47"/>
      <c r="M47"/>
      <c r="N47"/>
      <c r="O47"/>
      <c r="P47"/>
      <c r="Q47"/>
      <c r="R47"/>
      <c r="S47"/>
      <c r="T47"/>
      <c r="U47"/>
      <c r="V47"/>
      <c r="W47"/>
      <c r="X47"/>
      <c r="Y47"/>
      <c r="Z47"/>
      <c r="AA47"/>
      <c r="AB47"/>
    </row>
    <row r="48" spans="1:28" s="245" customFormat="1" ht="17.45" customHeight="1" x14ac:dyDescent="0.2">
      <c r="A48"/>
      <c r="B48"/>
      <c r="C48"/>
      <c r="D48"/>
      <c r="E48"/>
      <c r="F48"/>
      <c r="G48"/>
      <c r="H48"/>
      <c r="I48"/>
      <c r="J48"/>
      <c r="K48"/>
      <c r="L48"/>
      <c r="M48"/>
      <c r="N48"/>
      <c r="O48"/>
      <c r="P48"/>
      <c r="Q48"/>
      <c r="R48"/>
      <c r="S48"/>
      <c r="T48"/>
      <c r="U48"/>
      <c r="V48"/>
      <c r="W48"/>
      <c r="X48"/>
      <c r="Y48"/>
      <c r="Z48"/>
      <c r="AA48"/>
      <c r="AB48"/>
    </row>
    <row r="49" spans="1:28" s="164" customFormat="1" ht="18" customHeight="1" x14ac:dyDescent="0.2">
      <c r="A49"/>
      <c r="B49"/>
      <c r="C49"/>
      <c r="D49"/>
      <c r="E49"/>
      <c r="F49"/>
      <c r="G49"/>
      <c r="H49"/>
      <c r="I49"/>
      <c r="J49"/>
      <c r="K49"/>
      <c r="L49"/>
      <c r="M49"/>
      <c r="N49"/>
      <c r="O49"/>
      <c r="P49"/>
      <c r="Q49"/>
      <c r="R49"/>
      <c r="S49"/>
      <c r="T49"/>
      <c r="U49"/>
      <c r="V49"/>
      <c r="W49"/>
      <c r="X49"/>
      <c r="Y49"/>
      <c r="Z49"/>
      <c r="AA49"/>
      <c r="AB49"/>
    </row>
    <row r="50" spans="1:28" s="164" customFormat="1" ht="21.2" customHeight="1" x14ac:dyDescent="0.2">
      <c r="A50"/>
      <c r="B50"/>
      <c r="C50"/>
      <c r="D50"/>
      <c r="E50"/>
      <c r="F50"/>
      <c r="G50"/>
      <c r="H50"/>
      <c r="I50"/>
      <c r="J50"/>
      <c r="K50"/>
      <c r="L50"/>
      <c r="M50"/>
      <c r="N50"/>
      <c r="O50"/>
      <c r="P50"/>
      <c r="Q50"/>
      <c r="R50"/>
      <c r="S50"/>
      <c r="T50"/>
      <c r="U50"/>
      <c r="V50"/>
      <c r="W50"/>
      <c r="X50"/>
      <c r="Y50"/>
      <c r="Z50"/>
      <c r="AA50"/>
      <c r="AB50"/>
    </row>
    <row r="51" spans="1:28" s="164" customFormat="1" ht="21.2" customHeight="1" x14ac:dyDescent="0.2">
      <c r="A51"/>
      <c r="B51"/>
      <c r="C51"/>
      <c r="D51"/>
      <c r="E51"/>
      <c r="F51"/>
      <c r="G51"/>
      <c r="H51"/>
      <c r="I51"/>
      <c r="J51"/>
      <c r="K51"/>
      <c r="L51"/>
      <c r="M51"/>
      <c r="N51"/>
      <c r="O51"/>
      <c r="P51"/>
      <c r="Q51"/>
      <c r="R51"/>
      <c r="S51"/>
      <c r="T51"/>
      <c r="U51"/>
      <c r="V51"/>
      <c r="W51"/>
      <c r="X51"/>
      <c r="Y51"/>
      <c r="Z51"/>
      <c r="AA51"/>
      <c r="AB51"/>
    </row>
    <row r="52" spans="1:28" s="164" customFormat="1" ht="11.65" customHeight="1" x14ac:dyDescent="0.2">
      <c r="A52"/>
      <c r="B52"/>
      <c r="C52"/>
      <c r="D52"/>
      <c r="E52"/>
      <c r="F52"/>
      <c r="G52"/>
      <c r="H52"/>
      <c r="I52"/>
      <c r="J52"/>
      <c r="K52"/>
      <c r="L52"/>
      <c r="M52"/>
      <c r="N52"/>
      <c r="O52"/>
      <c r="P52"/>
      <c r="Q52"/>
      <c r="R52"/>
      <c r="S52"/>
      <c r="T52"/>
      <c r="U52"/>
      <c r="V52"/>
      <c r="W52"/>
      <c r="X52"/>
      <c r="Y52"/>
      <c r="Z52"/>
      <c r="AA52"/>
      <c r="AB52"/>
    </row>
    <row r="53" spans="1:28" s="164" customFormat="1" ht="11.65" customHeight="1" x14ac:dyDescent="0.2">
      <c r="A53"/>
      <c r="B53"/>
      <c r="C53"/>
      <c r="D53"/>
      <c r="E53"/>
      <c r="F53"/>
      <c r="G53"/>
      <c r="H53"/>
      <c r="I53"/>
      <c r="J53"/>
      <c r="K53"/>
      <c r="L53"/>
      <c r="M53"/>
      <c r="N53"/>
      <c r="O53"/>
      <c r="P53"/>
      <c r="Q53"/>
      <c r="R53"/>
      <c r="S53"/>
      <c r="T53"/>
      <c r="U53"/>
      <c r="V53"/>
      <c r="W53"/>
      <c r="X53"/>
      <c r="Y53"/>
      <c r="Z53"/>
      <c r="AA53"/>
      <c r="AB53"/>
    </row>
    <row r="54" spans="1:28" s="164" customFormat="1" ht="11.65" customHeight="1" x14ac:dyDescent="0.2">
      <c r="A54"/>
      <c r="B54"/>
      <c r="C54"/>
      <c r="D54"/>
      <c r="E54"/>
      <c r="F54"/>
      <c r="G54"/>
      <c r="H54"/>
      <c r="I54"/>
      <c r="J54"/>
      <c r="K54"/>
      <c r="L54"/>
      <c r="M54"/>
      <c r="N54"/>
      <c r="O54"/>
      <c r="P54"/>
      <c r="Q54"/>
      <c r="R54"/>
      <c r="S54"/>
      <c r="T54"/>
      <c r="U54"/>
      <c r="V54"/>
      <c r="W54"/>
      <c r="X54"/>
      <c r="Y54"/>
      <c r="Z54"/>
      <c r="AA54"/>
      <c r="AB54"/>
    </row>
    <row r="55" spans="1:28" ht="11.65" customHeight="1" x14ac:dyDescent="0.2">
      <c r="A55"/>
      <c r="B55"/>
      <c r="C55"/>
      <c r="D55"/>
      <c r="E55"/>
      <c r="F55"/>
      <c r="G55"/>
      <c r="H55"/>
      <c r="I55"/>
      <c r="J55"/>
      <c r="K55"/>
      <c r="L55"/>
      <c r="M55"/>
      <c r="N55"/>
      <c r="O55"/>
      <c r="P55"/>
      <c r="Q55"/>
      <c r="R55"/>
      <c r="S55"/>
      <c r="T55"/>
      <c r="U55"/>
      <c r="V55"/>
      <c r="W55"/>
      <c r="X55"/>
      <c r="Y55"/>
      <c r="Z55"/>
      <c r="AA55"/>
      <c r="AB55"/>
    </row>
    <row r="56" spans="1:28" customFormat="1" ht="11.65" customHeight="1" x14ac:dyDescent="0.2"/>
    <row r="57" spans="1:28" customFormat="1" ht="13.7" customHeight="1" x14ac:dyDescent="0.2"/>
    <row r="58" spans="1:28" customFormat="1" ht="17.100000000000001" customHeight="1" x14ac:dyDescent="0.2"/>
    <row r="59" spans="1:28" customFormat="1" ht="16.5" customHeight="1" x14ac:dyDescent="0.2"/>
    <row r="60" spans="1:28" s="164" customFormat="1" ht="16.5" customHeight="1" x14ac:dyDescent="0.2">
      <c r="B60"/>
      <c r="C60"/>
      <c r="D60"/>
      <c r="E60"/>
      <c r="F60"/>
      <c r="G60"/>
      <c r="H60"/>
      <c r="I60"/>
      <c r="J60"/>
      <c r="K60"/>
      <c r="L60"/>
      <c r="M60"/>
    </row>
    <row r="61" spans="1:28" s="164" customFormat="1" ht="16.5" customHeight="1" x14ac:dyDescent="0.2">
      <c r="B61" s="170"/>
      <c r="C61" s="170"/>
      <c r="D61" s="170"/>
      <c r="E61" s="170"/>
      <c r="F61" s="170"/>
      <c r="G61" s="170"/>
      <c r="H61" s="170"/>
      <c r="I61" s="170"/>
      <c r="J61" s="170"/>
      <c r="K61" s="170"/>
      <c r="L61" s="170"/>
      <c r="M61" s="170"/>
    </row>
    <row r="62" spans="1:28" s="164" customFormat="1" ht="16.5" customHeight="1" x14ac:dyDescent="0.2">
      <c r="B62" s="170"/>
      <c r="C62" s="170"/>
      <c r="D62" s="170"/>
      <c r="E62" s="170"/>
      <c r="F62" s="170"/>
      <c r="G62" s="170"/>
      <c r="H62" s="170"/>
      <c r="I62" s="170"/>
      <c r="J62" s="170"/>
      <c r="K62" s="170"/>
      <c r="L62" s="170"/>
      <c r="M62" s="170"/>
    </row>
    <row r="63" spans="1:28" s="164" customFormat="1" ht="16.5" customHeight="1" x14ac:dyDescent="0.25">
      <c r="B63" s="170"/>
      <c r="C63" s="170"/>
      <c r="D63" s="1509"/>
      <c r="E63" s="170"/>
      <c r="F63" s="170"/>
      <c r="G63" s="170"/>
      <c r="H63" s="170"/>
      <c r="I63" s="170"/>
      <c r="J63" s="170"/>
      <c r="K63" s="170"/>
      <c r="L63" s="170"/>
      <c r="M63" s="170"/>
    </row>
    <row r="64" spans="1:28" s="164" customFormat="1" ht="16.5" customHeight="1" x14ac:dyDescent="0.2">
      <c r="B64" s="170"/>
      <c r="C64" s="170"/>
      <c r="D64"/>
      <c r="E64" s="170"/>
      <c r="F64" s="170"/>
      <c r="G64" s="170"/>
      <c r="H64" s="170"/>
      <c r="I64" s="170"/>
      <c r="J64" s="170"/>
      <c r="K64" s="170"/>
      <c r="L64" s="170"/>
      <c r="M64" s="170"/>
    </row>
    <row r="65" spans="2:13" s="164" customFormat="1" ht="16.5" customHeight="1" x14ac:dyDescent="0.2">
      <c r="B65" s="170"/>
      <c r="C65" s="170"/>
      <c r="D65" s="1510"/>
      <c r="E65" s="170"/>
      <c r="F65" s="170"/>
      <c r="G65" s="170"/>
      <c r="H65" s="170"/>
      <c r="I65" s="170"/>
      <c r="J65" s="170"/>
      <c r="K65" s="170"/>
      <c r="L65" s="170"/>
      <c r="M65" s="170"/>
    </row>
    <row r="66" spans="2:13" s="164" customFormat="1" ht="16.5" customHeight="1" x14ac:dyDescent="0.2">
      <c r="B66" s="170"/>
      <c r="C66" s="170"/>
      <c r="D66"/>
      <c r="E66" s="170"/>
      <c r="F66" s="170"/>
      <c r="G66" s="170"/>
      <c r="H66" s="170"/>
      <c r="I66" s="170"/>
      <c r="J66" s="170"/>
      <c r="K66" s="170"/>
      <c r="L66" s="170"/>
      <c r="M66" s="170"/>
    </row>
    <row r="67" spans="2:13" s="164" customFormat="1" ht="16.5" customHeight="1" x14ac:dyDescent="0.2">
      <c r="B67" s="170"/>
      <c r="C67" s="170"/>
      <c r="D67" s="1511"/>
      <c r="E67" s="170"/>
      <c r="F67" s="170"/>
      <c r="G67" s="170"/>
      <c r="H67" s="170"/>
      <c r="I67" s="170"/>
      <c r="J67" s="170"/>
      <c r="K67" s="170"/>
      <c r="L67" s="170"/>
      <c r="M67" s="170"/>
    </row>
    <row r="68" spans="2:13" s="164" customFormat="1" ht="16.5" customHeight="1" x14ac:dyDescent="0.2">
      <c r="B68" s="170"/>
      <c r="C68" s="170"/>
      <c r="D68"/>
      <c r="E68" s="170"/>
      <c r="F68" s="170"/>
      <c r="G68" s="170"/>
      <c r="H68" s="170"/>
      <c r="I68" s="170"/>
      <c r="J68" s="170"/>
      <c r="K68" s="170"/>
      <c r="L68" s="170"/>
      <c r="M68" s="170"/>
    </row>
    <row r="69" spans="2:13" s="164" customFormat="1" ht="16.5" customHeight="1" x14ac:dyDescent="0.2">
      <c r="B69" s="170"/>
      <c r="C69" s="170"/>
      <c r="D69" s="1511"/>
      <c r="E69" s="170"/>
      <c r="F69" s="170"/>
      <c r="G69" s="170"/>
      <c r="H69" s="170"/>
      <c r="I69" s="170"/>
      <c r="J69" s="170"/>
      <c r="K69" s="170"/>
      <c r="L69" s="170"/>
      <c r="M69" s="170"/>
    </row>
    <row r="70" spans="2:13" s="164" customFormat="1" ht="16.5" customHeight="1" x14ac:dyDescent="0.2">
      <c r="B70" s="170"/>
      <c r="C70" s="170"/>
      <c r="D70"/>
      <c r="E70" s="170"/>
      <c r="F70" s="170"/>
      <c r="G70" s="170"/>
      <c r="H70" s="170"/>
      <c r="I70" s="170"/>
      <c r="J70" s="170"/>
      <c r="K70" s="170"/>
      <c r="L70" s="170"/>
      <c r="M70" s="170"/>
    </row>
    <row r="71" spans="2:13" s="164" customFormat="1" ht="16.5" customHeight="1" x14ac:dyDescent="0.2">
      <c r="B71" s="170"/>
      <c r="C71" s="170"/>
      <c r="D71" s="1511"/>
      <c r="E71" s="170"/>
      <c r="F71" s="170"/>
      <c r="G71" s="170"/>
      <c r="H71" s="170"/>
      <c r="I71" s="170"/>
      <c r="J71" s="170"/>
      <c r="K71" s="170"/>
      <c r="L71" s="170"/>
      <c r="M71" s="170"/>
    </row>
    <row r="72" spans="2:13" s="164" customFormat="1" ht="16.5" customHeight="1" x14ac:dyDescent="0.2">
      <c r="D72"/>
    </row>
    <row r="73" spans="2:13" s="164" customFormat="1" ht="16.5" customHeight="1" x14ac:dyDescent="0.2">
      <c r="D73" s="413"/>
    </row>
    <row r="74" spans="2:13" s="164" customFormat="1" ht="16.5" customHeight="1" x14ac:dyDescent="0.2">
      <c r="D74"/>
    </row>
    <row r="75" spans="2:13" s="164" customFormat="1" ht="16.5" customHeight="1" x14ac:dyDescent="0.2">
      <c r="D75"/>
    </row>
    <row r="76" spans="2:13" s="164" customFormat="1" ht="16.5" customHeight="1" x14ac:dyDescent="0.2"/>
    <row r="77" spans="2:13" s="164" customFormat="1" ht="16.5" customHeight="1" x14ac:dyDescent="0.2"/>
    <row r="78" spans="2:13" s="164" customFormat="1" ht="16.5" customHeight="1" x14ac:dyDescent="0.2"/>
    <row r="79" spans="2:13" s="164" customFormat="1" ht="16.5" customHeight="1" x14ac:dyDescent="0.2"/>
    <row r="80" spans="2:13" s="164" customFormat="1" ht="16.5" customHeight="1" x14ac:dyDescent="0.2"/>
    <row r="81" s="164" customFormat="1" ht="16.5" customHeight="1" x14ac:dyDescent="0.2"/>
    <row r="82" s="164" customFormat="1" ht="16.5" customHeight="1" x14ac:dyDescent="0.2"/>
    <row r="83" s="164" customFormat="1" ht="16.5" customHeight="1" x14ac:dyDescent="0.2"/>
    <row r="84" s="164" customFormat="1" ht="16.5" customHeight="1" x14ac:dyDescent="0.2"/>
    <row r="85" s="164" customFormat="1" ht="16.5" customHeight="1" x14ac:dyDescent="0.2"/>
    <row r="86" s="164" customFormat="1" ht="16.5" customHeight="1" x14ac:dyDescent="0.2"/>
    <row r="87" s="164" customFormat="1" ht="16.5" customHeight="1" x14ac:dyDescent="0.2"/>
    <row r="88" s="164" customFormat="1" ht="16.5" customHeight="1" x14ac:dyDescent="0.2"/>
    <row r="89" s="164" customFormat="1" ht="16.5" customHeight="1" x14ac:dyDescent="0.2"/>
    <row r="90" s="164" customFormat="1" ht="16.5" customHeight="1" x14ac:dyDescent="0.2"/>
    <row r="91" s="164" customFormat="1" ht="16.5" customHeight="1" x14ac:dyDescent="0.2"/>
    <row r="92" s="164" customFormat="1" ht="16.5" customHeight="1" x14ac:dyDescent="0.2"/>
    <row r="93" s="164" customFormat="1" ht="16.5" customHeight="1" x14ac:dyDescent="0.2"/>
  </sheetData>
  <sheetProtection sheet="1" objects="1" scenarios="1"/>
  <mergeCells count="1">
    <mergeCell ref="B16:M17"/>
  </mergeCells>
  <phoneticPr fontId="0" type="noConversion"/>
  <printOptions horizontalCentered="1"/>
  <pageMargins left="0.59055118110236227" right="0.59055118110236227" top="0.6692913385826772" bottom="0.51181102362204722" header="0.19685039370078741" footer="0.19685039370078741"/>
  <pageSetup paperSize="9" scale="75" firstPageNumber="9" orientation="portrait" useFirstPageNumber="1" verticalDpi="360" r:id="rId1"/>
  <headerFooter alignWithMargins="0">
    <oddFooter>&amp;LLEL Schwäbisch Gmünd
&amp;D&amp;C&amp;"Arial,Fett"&amp;P&amp;R&amp;F  &amp;A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FF0000"/>
    <pageSetUpPr fitToPage="1"/>
  </sheetPr>
  <dimension ref="A1:AP47"/>
  <sheetViews>
    <sheetView showGridLines="0" showZeros="0" zoomScale="70" zoomScaleNormal="70" workbookViewId="0">
      <pane xSplit="2" ySplit="6" topLeftCell="C7" activePane="bottomRight" state="frozen"/>
      <selection activeCell="N4" sqref="N4"/>
      <selection pane="topRight" activeCell="N4" sqref="N4"/>
      <selection pane="bottomLeft" activeCell="N4" sqref="N4"/>
      <selection pane="bottomRight"/>
    </sheetView>
  </sheetViews>
  <sheetFormatPr baseColWidth="10" defaultColWidth="11.5703125" defaultRowHeight="14.25" x14ac:dyDescent="0.2"/>
  <cols>
    <col min="1" max="1" width="1" style="554" customWidth="1"/>
    <col min="2" max="2" width="41.42578125" style="553" customWidth="1"/>
    <col min="3" max="3" width="13.140625" style="553" customWidth="1"/>
    <col min="4" max="6" width="11.7109375" style="553" customWidth="1"/>
    <col min="7" max="7" width="1" style="553" customWidth="1"/>
    <col min="8" max="10" width="11.7109375" style="553" customWidth="1"/>
    <col min="11" max="11" width="0.7109375" style="553" customWidth="1"/>
    <col min="12" max="14" width="11.7109375" style="553" customWidth="1"/>
    <col min="15" max="15" width="1.5703125" style="553" customWidth="1"/>
    <col min="16" max="16" width="1.7109375" style="553" customWidth="1"/>
    <col min="17" max="19" width="11.7109375" style="553" customWidth="1"/>
    <col min="20" max="20" width="1.5703125" style="554" customWidth="1"/>
    <col min="21" max="21" width="2.7109375" style="554" customWidth="1"/>
    <col min="22" max="72" width="14.5703125" style="554" customWidth="1"/>
    <col min="73" max="16384" width="11.5703125" style="554"/>
  </cols>
  <sheetData>
    <row r="1" spans="1:23" ht="27" customHeight="1" x14ac:dyDescent="0.2"/>
    <row r="2" spans="1:23" ht="22.9" customHeight="1" x14ac:dyDescent="0.4">
      <c r="B2" s="3943" t="s">
        <v>398</v>
      </c>
      <c r="C2" s="3943"/>
      <c r="D2" s="3943"/>
      <c r="E2" s="3943"/>
      <c r="F2" s="3943"/>
      <c r="G2" s="3943"/>
      <c r="H2" s="3943"/>
      <c r="I2" s="3943"/>
      <c r="J2" s="3943"/>
      <c r="K2" s="3943"/>
      <c r="L2" s="3943"/>
      <c r="M2" s="3943"/>
      <c r="N2" s="3943"/>
      <c r="O2" s="2228"/>
      <c r="P2" s="556"/>
      <c r="Q2" s="555"/>
      <c r="R2" s="555"/>
      <c r="S2" s="697">
        <f>Stammdaten!P6</f>
        <v>2022</v>
      </c>
      <c r="V2" s="2844" t="s">
        <v>858</v>
      </c>
      <c r="W2" s="554" t="str">
        <f>IF(Stammdaten!S7=1,"ohne Mwst.","mit Mwst")</f>
        <v>mit Mwst</v>
      </c>
    </row>
    <row r="3" spans="1:23" ht="9" customHeight="1" thickBot="1" x14ac:dyDescent="0.3">
      <c r="A3" s="2242"/>
      <c r="B3" s="2229"/>
      <c r="C3" s="2230"/>
      <c r="D3" s="2230"/>
      <c r="E3" s="2230"/>
      <c r="F3" s="2230"/>
      <c r="G3" s="2230"/>
      <c r="H3" s="2230"/>
      <c r="I3" s="2230"/>
      <c r="J3" s="2230"/>
      <c r="K3" s="2230"/>
      <c r="L3" s="2230"/>
      <c r="M3" s="2231"/>
      <c r="N3" s="2231"/>
      <c r="O3" s="2231"/>
      <c r="P3" s="2243"/>
      <c r="Q3" s="2244"/>
      <c r="R3" s="2245"/>
      <c r="S3" s="2245"/>
      <c r="T3" s="2246"/>
      <c r="V3" s="2843"/>
    </row>
    <row r="4" spans="1:23" ht="34.15" customHeight="1" thickTop="1" x14ac:dyDescent="0.2">
      <c r="A4" s="2242"/>
      <c r="B4" s="590" t="s">
        <v>1071</v>
      </c>
      <c r="C4" s="591" t="s">
        <v>1072</v>
      </c>
      <c r="D4" s="3944" t="str">
        <f>'FlV(a)'!O2</f>
        <v>Milchkuh; Fleckvieh</v>
      </c>
      <c r="E4" s="3945"/>
      <c r="F4" s="3946"/>
      <c r="G4" s="592"/>
      <c r="H4" s="3947" t="str">
        <f>'Sbt(a)'!O2</f>
        <v>Milchkuh; Holstein-Sbt.</v>
      </c>
      <c r="I4" s="3945"/>
      <c r="J4" s="3946"/>
      <c r="K4" s="592"/>
      <c r="L4" s="3947" t="str">
        <f>'BrV(a)'!O2</f>
        <v>Milchkuh; Braunvieh</v>
      </c>
      <c r="M4" s="3945"/>
      <c r="N4" s="3946"/>
      <c r="O4" s="2232"/>
      <c r="P4" s="2243"/>
      <c r="Q4" s="2151" t="s">
        <v>396</v>
      </c>
      <c r="R4" s="2152"/>
      <c r="S4" s="2153"/>
      <c r="T4" s="2246"/>
      <c r="V4" s="2844" t="s">
        <v>1103</v>
      </c>
    </row>
    <row r="5" spans="1:23" ht="17.100000000000001" customHeight="1" x14ac:dyDescent="0.25">
      <c r="A5" s="2242"/>
      <c r="B5" s="557" t="s">
        <v>1073</v>
      </c>
      <c r="C5" s="558"/>
      <c r="D5" s="559" t="s">
        <v>1074</v>
      </c>
      <c r="E5" s="2117" t="s">
        <v>1075</v>
      </c>
      <c r="F5" s="558" t="s">
        <v>1076</v>
      </c>
      <c r="G5" s="2154" t="s">
        <v>1006</v>
      </c>
      <c r="H5" s="2136" t="s">
        <v>1074</v>
      </c>
      <c r="I5" s="931" t="s">
        <v>1075</v>
      </c>
      <c r="J5" s="2136" t="s">
        <v>1076</v>
      </c>
      <c r="K5" s="2155" t="s">
        <v>1006</v>
      </c>
      <c r="L5" s="558" t="s">
        <v>1074</v>
      </c>
      <c r="M5" s="931" t="s">
        <v>1075</v>
      </c>
      <c r="N5" s="2148" t="s">
        <v>1076</v>
      </c>
      <c r="O5" s="2233"/>
      <c r="P5" s="2243"/>
      <c r="Q5" s="560" t="s">
        <v>1074</v>
      </c>
      <c r="R5" s="558" t="s">
        <v>1075</v>
      </c>
      <c r="S5" s="561" t="s">
        <v>1076</v>
      </c>
      <c r="T5" s="2246"/>
      <c r="V5" s="2523"/>
    </row>
    <row r="6" spans="1:23" ht="17.100000000000001" customHeight="1" x14ac:dyDescent="0.3">
      <c r="A6" s="2242"/>
      <c r="B6" s="562" t="s">
        <v>397</v>
      </c>
      <c r="C6" s="2084" t="s">
        <v>803</v>
      </c>
      <c r="D6" s="559">
        <f>'FlV(b)'!K7</f>
        <v>6500</v>
      </c>
      <c r="E6" s="2117">
        <f>'FlV(b)'!M7</f>
        <v>7500</v>
      </c>
      <c r="F6" s="558">
        <f>'FlV(b)'!O7</f>
        <v>8500</v>
      </c>
      <c r="G6" s="2154" t="s">
        <v>1006</v>
      </c>
      <c r="H6" s="558">
        <f>'Sbt(b)'!K7</f>
        <v>7500</v>
      </c>
      <c r="I6" s="931">
        <f>'Sbt(b)'!M7</f>
        <v>8500</v>
      </c>
      <c r="J6" s="558">
        <f>'Sbt(b)'!O7</f>
        <v>9500</v>
      </c>
      <c r="K6" s="2154" t="s">
        <v>1006</v>
      </c>
      <c r="L6" s="558">
        <f>'BrV(b)'!K7</f>
        <v>6500</v>
      </c>
      <c r="M6" s="931">
        <f>'BrV(b)'!M7</f>
        <v>7500</v>
      </c>
      <c r="N6" s="558">
        <f>'BrV(b)'!O7</f>
        <v>8500</v>
      </c>
      <c r="O6" s="2231"/>
      <c r="P6" s="2247"/>
      <c r="Q6" s="560">
        <f>'Färse(b)'!K7</f>
        <v>30</v>
      </c>
      <c r="R6" s="560">
        <f>'Färse(b)'!L7</f>
        <v>28</v>
      </c>
      <c r="S6" s="563">
        <f>'Färse(b)'!M7</f>
        <v>26</v>
      </c>
      <c r="T6" s="2246"/>
      <c r="V6" s="2842">
        <f>(D6+E6+F6+H6+I6+J6+L6+M6+N6)/9</f>
        <v>7833.333333333333</v>
      </c>
      <c r="W6" s="2845" t="str">
        <f>B6</f>
        <v>Milchleistung  / EKA-Färse</v>
      </c>
    </row>
    <row r="7" spans="1:23" ht="16.350000000000001" customHeight="1" x14ac:dyDescent="0.2">
      <c r="A7" s="2242"/>
      <c r="B7" s="564" t="s">
        <v>1078</v>
      </c>
      <c r="C7" s="638" t="s">
        <v>1079</v>
      </c>
      <c r="D7" s="565">
        <f>'FlV(b)'!K10</f>
        <v>2953.7624999999998</v>
      </c>
      <c r="E7" s="2118">
        <f>'FlV(b)'!M10</f>
        <v>3408.1874999999995</v>
      </c>
      <c r="F7" s="2127">
        <f>'FlV(b)'!O10</f>
        <v>3862.6124999999997</v>
      </c>
      <c r="G7" s="1198"/>
      <c r="H7" s="2127">
        <f>'Sbt(b)'!K10</f>
        <v>3375.3374999999996</v>
      </c>
      <c r="I7" s="2140">
        <f>'Sbt(b)'!M10</f>
        <v>3825.3824999999997</v>
      </c>
      <c r="J7" s="2127">
        <f>'Sbt(b)'!O10</f>
        <v>4275.4274999999998</v>
      </c>
      <c r="K7" s="1198"/>
      <c r="L7" s="2127">
        <f>'BrV(b)'!K10</f>
        <v>3003.5849999999996</v>
      </c>
      <c r="M7" s="932">
        <f>'BrV(b)'!M10</f>
        <v>3465.6749999999997</v>
      </c>
      <c r="N7" s="2127">
        <f>'BrV(b)'!O10</f>
        <v>3927.7649999999994</v>
      </c>
      <c r="O7" s="2234"/>
      <c r="P7" s="2243"/>
      <c r="Q7" s="567">
        <f>'Färse(b)'!K11</f>
        <v>1971</v>
      </c>
      <c r="R7" s="2140">
        <f>'Färse(b)'!L11</f>
        <v>1971</v>
      </c>
      <c r="S7" s="568">
        <f>'Färse(b)'!M11</f>
        <v>1971</v>
      </c>
      <c r="T7" s="2246"/>
      <c r="V7" s="2622">
        <f t="shared" ref="V7:V41" si="0">(D7+E7+F7+H7+I7+J7+L7+M7+N7)/9</f>
        <v>3566.4149999999995</v>
      </c>
      <c r="W7" s="553" t="str">
        <f t="shared" ref="W7:W41" si="1">B7</f>
        <v>Hauptleistung</v>
      </c>
    </row>
    <row r="8" spans="1:23" ht="16.350000000000001" customHeight="1" x14ac:dyDescent="0.2">
      <c r="A8" s="2242"/>
      <c r="B8" s="564" t="s">
        <v>1080</v>
      </c>
      <c r="C8" s="638" t="s">
        <v>1079</v>
      </c>
      <c r="D8" s="565">
        <f>'FlV(b)'!K11</f>
        <v>269.37</v>
      </c>
      <c r="E8" s="2118">
        <f>'FlV(b)'!M11</f>
        <v>269.37</v>
      </c>
      <c r="F8" s="2127">
        <f>'FlV(b)'!O11</f>
        <v>269.37</v>
      </c>
      <c r="G8" s="1198"/>
      <c r="H8" s="2127">
        <f>'Sbt(b)'!K11</f>
        <v>135.23249999999999</v>
      </c>
      <c r="I8" s="2140">
        <f>'Sbt(b)'!M11</f>
        <v>135.23249999999999</v>
      </c>
      <c r="J8" s="2127">
        <f>'Sbt(b)'!O11</f>
        <v>135.23249999999999</v>
      </c>
      <c r="K8" s="1198"/>
      <c r="L8" s="2127">
        <f>'BrV(b)'!K11</f>
        <v>166.98750000000001</v>
      </c>
      <c r="M8" s="932">
        <f>'BrV(b)'!M11</f>
        <v>166.98750000000001</v>
      </c>
      <c r="N8" s="2127">
        <f>'BrV(b)'!O11</f>
        <v>166.98750000000001</v>
      </c>
      <c r="O8" s="2234"/>
      <c r="P8" s="2243"/>
      <c r="Q8" s="999"/>
      <c r="R8" s="2140"/>
      <c r="S8" s="1000"/>
      <c r="T8" s="2246"/>
      <c r="V8" s="2622">
        <f t="shared" si="0"/>
        <v>190.53</v>
      </c>
      <c r="W8" s="553" t="str">
        <f t="shared" si="1"/>
        <v>Nebenleistung Kalb</v>
      </c>
    </row>
    <row r="9" spans="1:23" ht="16.350000000000001" customHeight="1" x14ac:dyDescent="0.2">
      <c r="A9" s="2242"/>
      <c r="B9" s="564" t="s">
        <v>1083</v>
      </c>
      <c r="C9" s="638" t="s">
        <v>1079</v>
      </c>
      <c r="D9" s="565">
        <f>'FlV(b)'!K12</f>
        <v>549.13155000000006</v>
      </c>
      <c r="E9" s="2118">
        <f>'FlV(b)'!M12</f>
        <v>549.13155000000006</v>
      </c>
      <c r="F9" s="2127">
        <f>'FlV(b)'!O12</f>
        <v>549.13155000000006</v>
      </c>
      <c r="G9" s="1198"/>
      <c r="H9" s="2127">
        <f>'Sbt(b)'!K12</f>
        <v>436.1896000000001</v>
      </c>
      <c r="I9" s="2140">
        <f>'Sbt(b)'!M12</f>
        <v>436.1896000000001</v>
      </c>
      <c r="J9" s="2127">
        <f>'Sbt(b)'!O12</f>
        <v>436.1896000000001</v>
      </c>
      <c r="K9" s="1198"/>
      <c r="L9" s="2127">
        <f>'BrV(b)'!K12</f>
        <v>488.58899999999994</v>
      </c>
      <c r="M9" s="932">
        <f>'BrV(b)'!M12</f>
        <v>488.58899999999994</v>
      </c>
      <c r="N9" s="2127">
        <f>'BrV(b)'!O12</f>
        <v>488.58899999999994</v>
      </c>
      <c r="O9" s="2234"/>
      <c r="P9" s="2243"/>
      <c r="Q9" s="999"/>
      <c r="R9" s="2140"/>
      <c r="S9" s="1000"/>
      <c r="T9" s="2246"/>
      <c r="V9" s="2622">
        <f t="shared" si="0"/>
        <v>491.30338333333344</v>
      </c>
      <c r="W9" s="553" t="str">
        <f t="shared" si="1"/>
        <v>Nebenleistung Altkuh</v>
      </c>
    </row>
    <row r="10" spans="1:23" ht="16.350000000000001" customHeight="1" x14ac:dyDescent="0.2">
      <c r="A10" s="2242"/>
      <c r="B10" s="564" t="s">
        <v>1084</v>
      </c>
      <c r="C10" s="638" t="s">
        <v>1079</v>
      </c>
      <c r="D10" s="575">
        <f>'FlV(b)'!K13</f>
        <v>313.45889166666666</v>
      </c>
      <c r="E10" s="2119">
        <f>'FlV(b)'!M13</f>
        <v>320.74863333333332</v>
      </c>
      <c r="F10" s="2128">
        <f>'FlV(b)'!O13</f>
        <v>328.03837499999997</v>
      </c>
      <c r="G10" s="1199"/>
      <c r="H10" s="2128">
        <f>'Sbt(b)'!K13</f>
        <v>320.74863333333332</v>
      </c>
      <c r="I10" s="2141">
        <f>'Sbt(b)'!M13</f>
        <v>328.03837499999997</v>
      </c>
      <c r="J10" s="2128">
        <f>'Sbt(b)'!O13</f>
        <v>335.32811666666663</v>
      </c>
      <c r="K10" s="1199"/>
      <c r="L10" s="2127">
        <f>'BrV(b)'!K13</f>
        <v>313.45889166666666</v>
      </c>
      <c r="M10" s="933">
        <f>'BrV(b)'!M13</f>
        <v>320.74863333333332</v>
      </c>
      <c r="N10" s="2128">
        <f>'BrV(b)'!O13</f>
        <v>328.03837499999997</v>
      </c>
      <c r="O10" s="2235"/>
      <c r="P10" s="2243"/>
      <c r="Q10" s="567">
        <f>'Färse(b)'!K12</f>
        <v>379.06656666666663</v>
      </c>
      <c r="R10" s="2141">
        <f>'Färse(b)'!L12</f>
        <v>349.9076</v>
      </c>
      <c r="S10" s="574">
        <f>'Färse(b)'!M12</f>
        <v>320.74863333333332</v>
      </c>
      <c r="T10" s="2246"/>
      <c r="V10" s="2622">
        <f t="shared" si="0"/>
        <v>323.17854722222216</v>
      </c>
      <c r="W10" s="553" t="str">
        <f t="shared" si="1"/>
        <v>Düngerwert</v>
      </c>
    </row>
    <row r="11" spans="1:23" ht="4.7" customHeight="1" x14ac:dyDescent="0.2">
      <c r="A11" s="2242"/>
      <c r="B11" s="2139"/>
      <c r="C11" s="570"/>
      <c r="E11" s="2156"/>
      <c r="F11" s="564"/>
      <c r="G11" s="1202"/>
      <c r="H11" s="564"/>
      <c r="I11" s="2156"/>
      <c r="J11" s="564"/>
      <c r="K11" s="1202"/>
      <c r="L11" s="564"/>
      <c r="M11" s="2156"/>
      <c r="N11" s="564"/>
      <c r="O11" s="2236"/>
      <c r="P11" s="2244"/>
      <c r="Q11" s="571"/>
      <c r="R11" s="2944"/>
      <c r="S11" s="570"/>
      <c r="T11" s="2246"/>
      <c r="V11" s="2622"/>
      <c r="W11" s="553">
        <f t="shared" si="1"/>
        <v>0</v>
      </c>
    </row>
    <row r="12" spans="1:23" ht="16.149999999999999" customHeight="1" x14ac:dyDescent="0.25">
      <c r="A12" s="2242"/>
      <c r="B12" s="993" t="s">
        <v>86</v>
      </c>
      <c r="C12" s="638" t="s">
        <v>1079</v>
      </c>
      <c r="D12" s="994">
        <f>'FlV(b)'!K14</f>
        <v>4085.7229416666664</v>
      </c>
      <c r="E12" s="2120">
        <f>'FlV(b)'!M14</f>
        <v>4547.4376833333326</v>
      </c>
      <c r="F12" s="2129">
        <f>'FlV(b)'!O14</f>
        <v>5009.1524250000002</v>
      </c>
      <c r="G12" s="1200"/>
      <c r="H12" s="2129">
        <f>'Sbt(b)'!K14</f>
        <v>4267.508233333333</v>
      </c>
      <c r="I12" s="998">
        <f>'Sbt(b)'!M14</f>
        <v>4724.8429749999996</v>
      </c>
      <c r="J12" s="2129">
        <f>'Sbt(b)'!O14</f>
        <v>5182.1777166666661</v>
      </c>
      <c r="K12" s="1200"/>
      <c r="L12" s="2129">
        <f>'BrV(b)'!K14</f>
        <v>3972.6203916666664</v>
      </c>
      <c r="M12" s="998">
        <f>'BrV(b)'!M14</f>
        <v>4442.0001333333339</v>
      </c>
      <c r="N12" s="2129">
        <f>'BrV(b)'!O14</f>
        <v>4911.3798749999996</v>
      </c>
      <c r="O12" s="2237"/>
      <c r="P12" s="2248"/>
      <c r="Q12" s="996">
        <f>'Färse(b)'!K13</f>
        <v>2350.0665666666664</v>
      </c>
      <c r="R12" s="998">
        <f>'Färse(b)'!L13</f>
        <v>2320.9076</v>
      </c>
      <c r="S12" s="997">
        <f>'Färse(b)'!M13</f>
        <v>2291.7486333333331</v>
      </c>
      <c r="T12" s="2246"/>
      <c r="V12" s="2842">
        <f t="shared" si="0"/>
        <v>4571.4269305555545</v>
      </c>
      <c r="W12" s="2845" t="str">
        <f t="shared" si="1"/>
        <v xml:space="preserve">Summe Leistungen </v>
      </c>
    </row>
    <row r="13" spans="1:23" ht="15.6" customHeight="1" x14ac:dyDescent="0.25">
      <c r="A13" s="2242"/>
      <c r="B13" s="583" t="s">
        <v>1085</v>
      </c>
      <c r="C13" s="684" t="s">
        <v>960</v>
      </c>
      <c r="D13" s="991">
        <f>'FlV(b)'!L14</f>
        <v>0.62857276025641018</v>
      </c>
      <c r="E13" s="2121">
        <f>'FlV(b)'!N14</f>
        <v>0.60632502444444436</v>
      </c>
      <c r="F13" s="2130">
        <f>'FlV(b)'!P14</f>
        <v>0.58931204999999998</v>
      </c>
      <c r="G13" s="1201"/>
      <c r="H13" s="2130">
        <f>'Sbt(b)'!L14</f>
        <v>0.56900109777777774</v>
      </c>
      <c r="I13" s="992">
        <f>'Sbt(b)'!N14</f>
        <v>0.55586387941176463</v>
      </c>
      <c r="J13" s="2130">
        <f>'Sbt(b)'!P14</f>
        <v>0.54549239122807014</v>
      </c>
      <c r="K13" s="1201"/>
      <c r="L13" s="2130">
        <f>'BrV(b)'!L14</f>
        <v>0.61117236794871788</v>
      </c>
      <c r="M13" s="992">
        <f>'BrV(b)'!N14</f>
        <v>0.59226668444444452</v>
      </c>
      <c r="N13" s="2130">
        <f>'BrV(b)'!P14</f>
        <v>0.5778093970588235</v>
      </c>
      <c r="O13" s="2238"/>
      <c r="P13" s="2243"/>
      <c r="Q13" s="1002"/>
      <c r="R13" s="2943"/>
      <c r="S13" s="1003"/>
      <c r="T13" s="2246"/>
      <c r="V13" s="2523">
        <f t="shared" si="0"/>
        <v>0.58620173917449481</v>
      </c>
      <c r="W13" s="553" t="str">
        <f t="shared" si="1"/>
        <v xml:space="preserve">                     je kg Milch</v>
      </c>
    </row>
    <row r="14" spans="1:23" ht="6.6" customHeight="1" x14ac:dyDescent="0.2">
      <c r="A14" s="2242"/>
      <c r="B14" s="582"/>
      <c r="C14" s="638"/>
      <c r="D14" s="569"/>
      <c r="E14" s="2122"/>
      <c r="F14" s="564"/>
      <c r="G14" s="1202"/>
      <c r="H14" s="564"/>
      <c r="I14" s="2142"/>
      <c r="J14" s="564"/>
      <c r="K14" s="1202"/>
      <c r="L14" s="564"/>
      <c r="M14" s="2142"/>
      <c r="N14" s="564"/>
      <c r="O14" s="2236"/>
      <c r="P14" s="2243"/>
      <c r="Q14" s="571"/>
      <c r="R14" s="929"/>
      <c r="S14" s="572"/>
      <c r="T14" s="2246"/>
      <c r="V14" s="2523">
        <f t="shared" si="0"/>
        <v>0</v>
      </c>
      <c r="W14" s="553">
        <f t="shared" si="1"/>
        <v>0</v>
      </c>
    </row>
    <row r="15" spans="1:23" ht="15.75" customHeight="1" x14ac:dyDescent="0.2">
      <c r="A15" s="2242"/>
      <c r="B15" s="564" t="s">
        <v>590</v>
      </c>
      <c r="C15" s="638" t="s">
        <v>1079</v>
      </c>
      <c r="D15" s="575">
        <f>'FlV(b)'!K17</f>
        <v>657</v>
      </c>
      <c r="E15" s="2119">
        <f>'FlV(b)'!M17</f>
        <v>657</v>
      </c>
      <c r="F15" s="2128">
        <f>'FlV(b)'!O17</f>
        <v>657</v>
      </c>
      <c r="G15" s="1199"/>
      <c r="H15" s="2128">
        <f>'Sbt(a)'!K26</f>
        <v>657</v>
      </c>
      <c r="I15" s="2141">
        <f>'Sbt(a)'!M26</f>
        <v>657</v>
      </c>
      <c r="J15" s="2128">
        <f>'Sbt(a)'!O26</f>
        <v>657</v>
      </c>
      <c r="K15" s="1199"/>
      <c r="L15" s="2128">
        <f>'BrV(b)'!K17</f>
        <v>657</v>
      </c>
      <c r="M15" s="933">
        <f>'BrV(b)'!M17</f>
        <v>657</v>
      </c>
      <c r="N15" s="2128">
        <f>'BrV(b)'!O17</f>
        <v>657</v>
      </c>
      <c r="O15" s="2235"/>
      <c r="P15" s="2243"/>
      <c r="Q15" s="573">
        <f>'Färse(b)'!K16</f>
        <v>484.1417602974185</v>
      </c>
      <c r="R15" s="2141">
        <f>'Färse(b)'!L16</f>
        <v>484.1417602974185</v>
      </c>
      <c r="S15" s="574">
        <f>'Färse(b)'!M16</f>
        <v>484.1417602974185</v>
      </c>
      <c r="T15" s="2246"/>
      <c r="V15" s="2622">
        <f t="shared" si="0"/>
        <v>657</v>
      </c>
      <c r="W15" s="553" t="str">
        <f t="shared" si="1"/>
        <v xml:space="preserve">Bestandsergänzung </v>
      </c>
    </row>
    <row r="16" spans="1:23" ht="15.75" customHeight="1" x14ac:dyDescent="0.2">
      <c r="A16" s="2242"/>
      <c r="B16" s="564" t="s">
        <v>1087</v>
      </c>
      <c r="C16" s="638" t="s">
        <v>1079</v>
      </c>
      <c r="D16" s="575">
        <f>'FlV(b)'!K18</f>
        <v>762.05850000000009</v>
      </c>
      <c r="E16" s="2119">
        <f>'FlV(b)'!M18</f>
        <v>811.29100000000017</v>
      </c>
      <c r="F16" s="2128">
        <f>'FlV(b)'!O18</f>
        <v>860.52350000000013</v>
      </c>
      <c r="G16" s="1199"/>
      <c r="H16" s="2128">
        <f>'Sbt(a)'!K28</f>
        <v>855.68350000000009</v>
      </c>
      <c r="I16" s="2141">
        <f>'Sbt(a)'!M28</f>
        <v>904.91600000000017</v>
      </c>
      <c r="J16" s="2128">
        <f>'Sbt(a)'!O28</f>
        <v>954.14850000000013</v>
      </c>
      <c r="K16" s="1199"/>
      <c r="L16" s="2128">
        <f>'BrV(b)'!K18</f>
        <v>668.43350000000009</v>
      </c>
      <c r="M16" s="933">
        <f>'BrV(b)'!M18</f>
        <v>764.47850000000017</v>
      </c>
      <c r="N16" s="2128">
        <f>'BrV(b)'!O18</f>
        <v>860.52350000000013</v>
      </c>
      <c r="O16" s="2235"/>
      <c r="P16" s="2243"/>
      <c r="Q16" s="573">
        <f>'Färse(b)'!K17</f>
        <v>146.08000000000001</v>
      </c>
      <c r="R16" s="2141">
        <f>'Färse(b)'!L17</f>
        <v>201.73250000000002</v>
      </c>
      <c r="S16" s="574">
        <f>'Färse(b)'!M17</f>
        <v>257.38499999999999</v>
      </c>
      <c r="T16" s="2246"/>
      <c r="V16" s="2622">
        <f t="shared" si="0"/>
        <v>826.8951666666668</v>
      </c>
      <c r="W16" s="553" t="str">
        <f t="shared" si="1"/>
        <v>Kraft-und Mineralfutter</v>
      </c>
    </row>
    <row r="17" spans="1:23" ht="15.75" customHeight="1" x14ac:dyDescent="0.2">
      <c r="A17" s="2242"/>
      <c r="B17" s="564" t="s">
        <v>624</v>
      </c>
      <c r="C17" s="638" t="s">
        <v>1079</v>
      </c>
      <c r="D17" s="575">
        <f>'FlV(b)'!K19</f>
        <v>129.91999999999999</v>
      </c>
      <c r="E17" s="2119">
        <f>'FlV(b)'!M19</f>
        <v>141.12</v>
      </c>
      <c r="F17" s="2128">
        <f>'FlV(b)'!O19</f>
        <v>156.80000000000001</v>
      </c>
      <c r="G17" s="1199"/>
      <c r="H17" s="2128">
        <f>'Sbt(a)'!J36+'Sbt(a)'!J36*Stammdaten!$P$11</f>
        <v>129.91999999999999</v>
      </c>
      <c r="I17" s="2141">
        <f>'Sbt(a)'!L36+'Sbt(a)'!L36*Stammdaten!$P$11</f>
        <v>141.12</v>
      </c>
      <c r="J17" s="2128">
        <f>'Sbt(a)'!N36+'Sbt(a)'!N36*Stammdaten!$P$11</f>
        <v>1276.8</v>
      </c>
      <c r="K17" s="1199"/>
      <c r="L17" s="2128">
        <f>'BrV(a)'!J36+'BrV(a)'!J36*Stammdaten!$P$11</f>
        <v>129.91999999999999</v>
      </c>
      <c r="M17" s="2141">
        <f>'BrV(a)'!L36+'BrV(a)'!L36*Stammdaten!$P$11</f>
        <v>141.12</v>
      </c>
      <c r="N17" s="2128">
        <f>'BrV(a)'!N36+'BrV(a)'!N36*Stammdaten!$P$11</f>
        <v>156.80000000000001</v>
      </c>
      <c r="O17" s="2235"/>
      <c r="P17" s="2243"/>
      <c r="Q17" s="573">
        <f>'Färse(b)'!K18</f>
        <v>52.64</v>
      </c>
      <c r="R17" s="928">
        <f>'Färse(b)'!L18</f>
        <v>52.64</v>
      </c>
      <c r="S17" s="574">
        <f>'Färse(b)'!M18</f>
        <v>33.6</v>
      </c>
      <c r="T17" s="2246"/>
      <c r="V17" s="2622">
        <f t="shared" si="0"/>
        <v>267.0577777777778</v>
      </c>
      <c r="W17" s="553" t="str">
        <f t="shared" si="1"/>
        <v>Tierarzt, Med.,Klauenpflege</v>
      </c>
    </row>
    <row r="18" spans="1:23" ht="15.75" customHeight="1" x14ac:dyDescent="0.2">
      <c r="A18" s="2242"/>
      <c r="B18" s="564" t="s">
        <v>1088</v>
      </c>
      <c r="C18" s="638" t="s">
        <v>1079</v>
      </c>
      <c r="D18" s="575">
        <f>'FlV(a)'!J37+'FlV(a)'!J37*Stammdaten!$P$11</f>
        <v>35.840000000000003</v>
      </c>
      <c r="E18" s="2119">
        <f>'FlV(a)'!L37+('FlV(a)'!L37*Stammdaten!$P$11)</f>
        <v>35.840000000000003</v>
      </c>
      <c r="F18" s="2128">
        <f>'FlV(a)'!N37+('FlV(a)'!N37*Stammdaten!$P$11)</f>
        <v>38.08</v>
      </c>
      <c r="G18" s="1199"/>
      <c r="H18" s="2128">
        <f>'Sbt(a)'!J37+'Sbt(a)'!J37*Stammdaten!$P$11</f>
        <v>35.840000000000003</v>
      </c>
      <c r="I18" s="2141">
        <f>'Sbt(a)'!L37+'Sbt(a)'!L37*Stammdaten!$P$11</f>
        <v>35.840000000000003</v>
      </c>
      <c r="J18" s="2128">
        <f>'Sbt(a)'!N37+'Sbt(a)'!N37*Stammdaten!$P$11</f>
        <v>38.08</v>
      </c>
      <c r="K18" s="1199"/>
      <c r="L18" s="2128">
        <f>'BrV(a)'!J37+'BrV(a)'!J37*Stammdaten!$P$11</f>
        <v>35.840000000000003</v>
      </c>
      <c r="M18" s="2141">
        <f>'BrV(a)'!L37+'BrV(a)'!L37*Stammdaten!$P$11</f>
        <v>35.840000000000003</v>
      </c>
      <c r="N18" s="2128">
        <f>'BrV(a)'!N37+'BrV(a)'!N37*Stammdaten!$P$11</f>
        <v>38.08</v>
      </c>
      <c r="O18" s="2235"/>
      <c r="P18" s="2243"/>
      <c r="Q18" s="573">
        <f>'Färse(b)'!K19</f>
        <v>17.920000000000002</v>
      </c>
      <c r="R18" s="928">
        <f>'Färse(b)'!L19</f>
        <v>28.632345346988238</v>
      </c>
      <c r="S18" s="574">
        <f>'Färse(b)'!M19</f>
        <v>28.632345346988238</v>
      </c>
      <c r="T18" s="2246"/>
      <c r="V18" s="2622">
        <f t="shared" si="0"/>
        <v>36.586666666666673</v>
      </c>
      <c r="W18" s="553" t="str">
        <f t="shared" si="1"/>
        <v>Besamung, Deckgeld</v>
      </c>
    </row>
    <row r="19" spans="1:23" ht="15.75" customHeight="1" x14ac:dyDescent="0.2">
      <c r="A19" s="2242"/>
      <c r="B19" s="564" t="s">
        <v>1089</v>
      </c>
      <c r="C19" s="638" t="s">
        <v>1079</v>
      </c>
      <c r="D19" s="575">
        <f>('FlV(a)'!J38+'FlV(a)'!J39)*Stammdaten!$S$11</f>
        <v>137.31216821666666</v>
      </c>
      <c r="E19" s="2119">
        <f>('FlV(a)'!L38+'FlV(a)'!L39)*Stammdaten!$S$11</f>
        <v>153.97946781666667</v>
      </c>
      <c r="F19" s="2128">
        <f>('FlV(a)'!N38+'FlV(a)'!N39)*Stammdaten!$S$11</f>
        <v>170.64676741666668</v>
      </c>
      <c r="G19" s="1199"/>
      <c r="H19" s="2128">
        <f>('Sbt(a)'!J38+'Sbt(a)'!J39)*Stammdaten!$S$11</f>
        <v>153.52734288333335</v>
      </c>
      <c r="I19" s="2141">
        <f>('Sbt(a)'!L38+'Sbt(a)'!L39)*Stammdaten!$S$11</f>
        <v>170.19464248333335</v>
      </c>
      <c r="J19" s="2128">
        <f>('Sbt(a)'!N38+'Sbt(a)'!N39)*Stammdaten!$S$11</f>
        <v>186.86194208333336</v>
      </c>
      <c r="K19" s="1199"/>
      <c r="L19" s="2128">
        <f>('BrV(a)'!J38+'BrV(a)'!J39)*Stammdaten!$S$11</f>
        <v>138.05446288333334</v>
      </c>
      <c r="M19" s="2141">
        <f>('BrV(a)'!L38+'BrV(a)'!L39)*Stammdaten!$S$11</f>
        <v>154.35061514999998</v>
      </c>
      <c r="N19" s="2128">
        <f>('BrV(a)'!N38+'BrV(a)'!N39)*Stammdaten!$S$11</f>
        <v>170.64676741666668</v>
      </c>
      <c r="O19" s="2235"/>
      <c r="P19" s="2243"/>
      <c r="Q19" s="573">
        <f>('Färse(a)'!L28+'Färse(a)'!L29)*Stammdaten!$S$11</f>
        <v>61.600347733333336</v>
      </c>
      <c r="R19" s="928">
        <f>('Färse(a)'!N28+'Färse(a)'!N29)*Stammdaten!$S$11</f>
        <v>54.913744266666669</v>
      </c>
      <c r="S19" s="574">
        <f>('Färse(a)'!P28+'Färse(a)'!P29)*Stammdaten!$S$11</f>
        <v>51.294474133333331</v>
      </c>
      <c r="T19" s="2246"/>
      <c r="V19" s="2622">
        <f t="shared" si="0"/>
        <v>159.5082418166667</v>
      </c>
      <c r="W19" s="553" t="str">
        <f t="shared" si="1"/>
        <v>Wasser, Energie</v>
      </c>
    </row>
    <row r="20" spans="1:23" ht="15.75" customHeight="1" x14ac:dyDescent="0.2">
      <c r="A20" s="2242"/>
      <c r="B20" s="564" t="s">
        <v>1090</v>
      </c>
      <c r="C20" s="638" t="s">
        <v>1079</v>
      </c>
      <c r="D20" s="575">
        <f>'FlV(a)'!J40+('FlV(a)'!J40*Stammdaten!$P$11)</f>
        <v>29.12</v>
      </c>
      <c r="E20" s="2119">
        <f>'FlV(a)'!L40+('FlV(a)'!L40*Stammdaten!$P$11)</f>
        <v>29.12</v>
      </c>
      <c r="F20" s="2128">
        <f>'FlV(a)'!N40+('FlV(a)'!N40*Stammdaten!$P$11)</f>
        <v>29.12</v>
      </c>
      <c r="G20" s="1199"/>
      <c r="H20" s="2128">
        <f>'Sbt(a)'!J40+'Sbt(a)'!J40*Stammdaten!$P$11</f>
        <v>29.12</v>
      </c>
      <c r="I20" s="2141">
        <f>'Sbt(a)'!L40+'Sbt(a)'!L40*Stammdaten!$P$11</f>
        <v>29.12</v>
      </c>
      <c r="J20" s="2128">
        <f>'Sbt(a)'!N40+'Sbt(a)'!N40*Stammdaten!$P$11</f>
        <v>29.12</v>
      </c>
      <c r="K20" s="1199"/>
      <c r="L20" s="2128">
        <f>'BrV(a)'!J40+'BrV(a)'!J40*Stammdaten!$P$11</f>
        <v>29.12</v>
      </c>
      <c r="M20" s="2141">
        <f>'BrV(a)'!L40+'BrV(a)'!L40*Stammdaten!$P$11</f>
        <v>29.12</v>
      </c>
      <c r="N20" s="2128">
        <f>'BrV(a)'!N40+'BrV(a)'!N40*Stammdaten!$P$11</f>
        <v>29.12</v>
      </c>
      <c r="O20" s="2235"/>
      <c r="P20" s="2243"/>
      <c r="Q20" s="573">
        <f>'Färse(a)'!L30+'Färse(a)'!L30*Stammdaten!P11</f>
        <v>11.2</v>
      </c>
      <c r="R20" s="928">
        <f>'Färse(a)'!N30+'Färse(a)'!N30*Stammdaten!P11</f>
        <v>11.2</v>
      </c>
      <c r="S20" s="574">
        <f>'Färse(a)'!P30+'Färse(a)'!P30*Stammdaten!P11</f>
        <v>11.2</v>
      </c>
      <c r="T20" s="2246"/>
      <c r="V20" s="2622">
        <f t="shared" si="0"/>
        <v>29.119999999999997</v>
      </c>
      <c r="W20" s="553" t="str">
        <f t="shared" si="1"/>
        <v>MLP, ZV-Beitrag</v>
      </c>
    </row>
    <row r="21" spans="1:23" ht="15.75" customHeight="1" x14ac:dyDescent="0.2">
      <c r="A21" s="2242"/>
      <c r="B21" s="564" t="s">
        <v>1091</v>
      </c>
      <c r="C21" s="638" t="s">
        <v>1079</v>
      </c>
      <c r="D21" s="575">
        <f>'FlV(a)'!J41+('FlV(a)'!J41*Stammdaten!$P$11)</f>
        <v>25.759999999999998</v>
      </c>
      <c r="E21" s="2119">
        <f>'FlV(a)'!L41+('FlV(a)'!L41*Stammdaten!$P$11)</f>
        <v>29.12</v>
      </c>
      <c r="F21" s="2128">
        <f>'FlV(a)'!N41+('FlV(a)'!N41*Stammdaten!$P$11)</f>
        <v>31.36</v>
      </c>
      <c r="G21" s="1199"/>
      <c r="H21" s="2128">
        <f>'Sbt(a)'!J41+'Sbt(a)'!J41*Stammdaten!$P$11</f>
        <v>25.759999999999998</v>
      </c>
      <c r="I21" s="2141">
        <f>'Sbt(a)'!L41+'Sbt(a)'!L41*Stammdaten!$P$11</f>
        <v>29.12</v>
      </c>
      <c r="J21" s="2128">
        <f>'Sbt(a)'!N41+'Sbt(a)'!N41*Stammdaten!$P$11</f>
        <v>31.36</v>
      </c>
      <c r="K21" s="1199"/>
      <c r="L21" s="2128">
        <f>'BrV(a)'!J41+'BrV(a)'!J41*Stammdaten!$P$11</f>
        <v>25.759999999999998</v>
      </c>
      <c r="M21" s="2141">
        <f>'BrV(a)'!L41+'BrV(a)'!L41*Stammdaten!$P$11</f>
        <v>29.12</v>
      </c>
      <c r="N21" s="2128">
        <f>'BrV(a)'!N41+'BrV(a)'!N41*Stammdaten!$P$11</f>
        <v>31.36</v>
      </c>
      <c r="O21" s="2235"/>
      <c r="P21" s="2243"/>
      <c r="Q21" s="573">
        <f>'Färse(a)'!L31+'Färse(a)'!L31*Stammdaten!P11</f>
        <v>36.96</v>
      </c>
      <c r="R21" s="928">
        <f>'Färse(a)'!N31+'Färse(a)'!N31*Stammdaten!P11</f>
        <v>34.72</v>
      </c>
      <c r="S21" s="574">
        <f>'Färse(a)'!P31+'Färse(a)'!P31*Stammdaten!P11</f>
        <v>31.36</v>
      </c>
      <c r="T21" s="2246"/>
      <c r="V21" s="2622">
        <f t="shared" si="0"/>
        <v>28.74666666666667</v>
      </c>
      <c r="W21" s="553" t="str">
        <f t="shared" si="1"/>
        <v>Vers. Verlustausgl. TSK</v>
      </c>
    </row>
    <row r="22" spans="1:23" ht="15.75" customHeight="1" x14ac:dyDescent="0.2">
      <c r="A22" s="2242"/>
      <c r="B22" s="564" t="s">
        <v>1092</v>
      </c>
      <c r="C22" s="638" t="s">
        <v>1079</v>
      </c>
      <c r="D22" s="575">
        <f>'FlV(a)'!J42+('FlV(a)'!J42*Stammdaten!$P$11)</f>
        <v>53.277216299999999</v>
      </c>
      <c r="E22" s="2119">
        <f>'FlV(a)'!L42+('FlV(a)'!L42*Stammdaten!$P$11)</f>
        <v>59.073468299999988</v>
      </c>
      <c r="F22" s="2128">
        <f>'FlV(a)'!N42+('FlV(a)'!N42*Stammdaten!$P$11)</f>
        <v>64.869720300000012</v>
      </c>
      <c r="G22" s="1199"/>
      <c r="H22" s="2128">
        <f>'Sbt(a)'!J42+'Sbt(a)'!J42*Stammdaten!$P$11</f>
        <v>63.490427000000004</v>
      </c>
      <c r="I22" s="2141">
        <f>'Sbt(a)'!L42+'Sbt(a)'!L42*Stammdaten!$P$11</f>
        <v>69.930707000000012</v>
      </c>
      <c r="J22" s="2128">
        <f>'Sbt(a)'!N42+'Sbt(a)'!N42*Stammdaten!$P$11</f>
        <v>76.370987000000014</v>
      </c>
      <c r="K22" s="1199"/>
      <c r="L22" s="2128">
        <f>'BrV(a)'!J42+'BrV(a)'!J42*Stammdaten!$P$11</f>
        <v>63.490427000000004</v>
      </c>
      <c r="M22" s="2141">
        <f>'BrV(a)'!L42+'BrV(a)'!L42*Stammdaten!$P$11</f>
        <v>67.783946999999984</v>
      </c>
      <c r="N22" s="2128">
        <f>'BrV(a)'!N42+'BrV(a)'!N42*Stammdaten!$P$11</f>
        <v>72.077467000000013</v>
      </c>
      <c r="O22" s="2235"/>
      <c r="P22" s="2243"/>
      <c r="Q22" s="573">
        <f>'Färse(a)'!L32+'Färse(a)'!L32*Stammdaten!P11</f>
        <v>65.28</v>
      </c>
      <c r="R22" s="928">
        <f>'Färse(a)'!N32+'Färse(a)'!N32*Stammdaten!P11</f>
        <v>64.260000000000005</v>
      </c>
      <c r="S22" s="574">
        <f>'Färse(a)'!P32+'Färse(a)'!P32*Stammdaten!P11</f>
        <v>65.28</v>
      </c>
      <c r="T22" s="2246"/>
      <c r="V22" s="2622">
        <f t="shared" si="0"/>
        <v>65.596040766666675</v>
      </c>
      <c r="W22" s="553" t="str">
        <f t="shared" si="1"/>
        <v>var. Maschkosten (Futtervorlage)</v>
      </c>
    </row>
    <row r="23" spans="1:23" ht="15.75" customHeight="1" x14ac:dyDescent="0.2">
      <c r="A23" s="2242"/>
      <c r="B23" s="564" t="s">
        <v>1093</v>
      </c>
      <c r="C23" s="638" t="s">
        <v>1079</v>
      </c>
      <c r="D23" s="575">
        <f>'FlV(a)'!J43+('FlV(a)'!J43*Stammdaten!$P$11)</f>
        <v>103.99999999999999</v>
      </c>
      <c r="E23" s="2119">
        <f>'FlV(a)'!L43+('FlV(a)'!L43*Stammdaten!$P$11)</f>
        <v>106</v>
      </c>
      <c r="F23" s="2128">
        <f>'FlV(a)'!N43+('FlV(a)'!N43*Stammdaten!$P$11)</f>
        <v>107.99999999999999</v>
      </c>
      <c r="G23" s="1199"/>
      <c r="H23" s="2128">
        <f>'Sbt(a)'!J43+'Sbt(a)'!J43*Stammdaten!$P$11</f>
        <v>117.99999999999999</v>
      </c>
      <c r="I23" s="2141">
        <f>'Sbt(a)'!L43+'Sbt(a)'!L43*Stammdaten!$P$11</f>
        <v>120</v>
      </c>
      <c r="J23" s="2128">
        <f>'Sbt(a)'!N43+'Sbt(a)'!N43*Stammdaten!$P$11</f>
        <v>122.99999999999999</v>
      </c>
      <c r="K23" s="1199"/>
      <c r="L23" s="2128">
        <f>'BrV(a)'!J43+'BrV(a)'!J43*Stammdaten!$P$11</f>
        <v>114.99999999999999</v>
      </c>
      <c r="M23" s="2141">
        <f>'BrV(a)'!L43+'BrV(a)'!L43*Stammdaten!$P$11</f>
        <v>117.99999999999999</v>
      </c>
      <c r="N23" s="2128">
        <f>'BrV(a)'!N43+'BrV(a)'!N43*Stammdaten!$P$11</f>
        <v>120</v>
      </c>
      <c r="O23" s="2235"/>
      <c r="P23" s="2243"/>
      <c r="Q23" s="573">
        <f>'Färse(a)'!L33+'Färse(a)'!L33*Stammdaten!P11</f>
        <v>83.999999999999986</v>
      </c>
      <c r="R23" s="928">
        <f>'Färse(a)'!N33+'Färse(a)'!N33*Stammdaten!P11</f>
        <v>89.999999999999986</v>
      </c>
      <c r="S23" s="574">
        <f>'Färse(a)'!P33+'Färse(a)'!P33*Stammdaten!P11</f>
        <v>93.999999999999986</v>
      </c>
      <c r="T23" s="2246"/>
      <c r="V23" s="2622">
        <f t="shared" si="0"/>
        <v>114.66666666666667</v>
      </c>
      <c r="W23" s="553" t="str">
        <f t="shared" si="1"/>
        <v>Lohnarbeit ( Gülleausbringung )</v>
      </c>
    </row>
    <row r="24" spans="1:23" ht="15.75" customHeight="1" x14ac:dyDescent="0.2">
      <c r="A24" s="2242"/>
      <c r="B24" s="564" t="s">
        <v>1094</v>
      </c>
      <c r="C24" s="638" t="s">
        <v>1079</v>
      </c>
      <c r="D24" s="575">
        <f>'FlV(a)'!J44+('FlV(a)'!J44*Stammdaten!$P$11)</f>
        <v>56</v>
      </c>
      <c r="E24" s="2119">
        <f>'FlV(a)'!L44+('FlV(a)'!L44*Stammdaten!$P$11)</f>
        <v>56</v>
      </c>
      <c r="F24" s="2128">
        <f>'FlV(a)'!N44+('FlV(a)'!N44*Stammdaten!$P$11)</f>
        <v>56</v>
      </c>
      <c r="G24" s="1199"/>
      <c r="H24" s="2128">
        <f>'Sbt(a)'!J44+'Sbt(a)'!J44*Stammdaten!$P$11</f>
        <v>56</v>
      </c>
      <c r="I24" s="2141">
        <f>'Sbt(a)'!L44+'Sbt(a)'!L44*Stammdaten!$P$11</f>
        <v>56</v>
      </c>
      <c r="J24" s="2128">
        <f>'Sbt(a)'!N44+'Sbt(a)'!N44*Stammdaten!$P$11</f>
        <v>56</v>
      </c>
      <c r="K24" s="1199"/>
      <c r="L24" s="2128">
        <f>'BrV(a)'!J44+'BrV(a)'!J44*Stammdaten!$P$11</f>
        <v>56</v>
      </c>
      <c r="M24" s="2141">
        <f>'BrV(a)'!L44+'BrV(a)'!L44*Stammdaten!$P$11</f>
        <v>56</v>
      </c>
      <c r="N24" s="2128">
        <f>'BrV(a)'!N44+'BrV(a)'!N44*Stammdaten!$P$11</f>
        <v>56</v>
      </c>
      <c r="O24" s="2235"/>
      <c r="P24" s="2248"/>
      <c r="Q24" s="573">
        <f>'Färse(a)'!L34+'Färse(a)'!L34*Stammdaten!P11</f>
        <v>56</v>
      </c>
      <c r="R24" s="928">
        <f>'Färse(a)'!N34+'Färse(a)'!N34*Stammdaten!P11</f>
        <v>56</v>
      </c>
      <c r="S24" s="574">
        <f>'Färse(a)'!P34+'Färse(a)'!P34*Stammdaten!P11</f>
        <v>56</v>
      </c>
      <c r="T24" s="2252"/>
      <c r="V24" s="2622">
        <f t="shared" si="0"/>
        <v>56</v>
      </c>
      <c r="W24" s="553" t="str">
        <f t="shared" si="1"/>
        <v>Sonstiges</v>
      </c>
    </row>
    <row r="25" spans="1:23" ht="16.149999999999999" customHeight="1" x14ac:dyDescent="0.25">
      <c r="A25" s="2242"/>
      <c r="B25" s="577" t="s">
        <v>686</v>
      </c>
      <c r="C25" s="684" t="s">
        <v>1079</v>
      </c>
      <c r="D25" s="579">
        <f>'FlV(b)'!K23</f>
        <v>1990.2878845166667</v>
      </c>
      <c r="E25" s="2123">
        <f>'FlV(b)'!M23</f>
        <v>2078.5439361166668</v>
      </c>
      <c r="F25" s="2131">
        <f>'FlV(b)'!O23</f>
        <v>2172.3999877166671</v>
      </c>
      <c r="G25" s="1203"/>
      <c r="H25" s="2131">
        <f>'Sbt(b)'!K23</f>
        <v>2124.3412698833336</v>
      </c>
      <c r="I25" s="2143">
        <f>'Sbt(b)'!M23</f>
        <v>2213.2413494833336</v>
      </c>
      <c r="J25" s="2131">
        <f>'Sbt(b)'!O23</f>
        <v>3428.741429083334</v>
      </c>
      <c r="K25" s="1203"/>
      <c r="L25" s="2131">
        <f>'BrV(b)'!K23</f>
        <v>1918.6183898833333</v>
      </c>
      <c r="M25" s="2143">
        <f>'BrV(b)'!M23</f>
        <v>2052.81306215</v>
      </c>
      <c r="N25" s="2131">
        <f>'BrV(b)'!O23</f>
        <v>2191.607734416667</v>
      </c>
      <c r="O25" s="2237"/>
      <c r="P25" s="2248"/>
      <c r="Q25" s="581">
        <f>'Färse(b)'!K22</f>
        <v>1015.8221080307518</v>
      </c>
      <c r="R25" s="1011">
        <f>'Färse(b)'!L22</f>
        <v>1078.2403499110733</v>
      </c>
      <c r="S25" s="580">
        <f>'Färse(b)'!M22</f>
        <v>1112.8935797777401</v>
      </c>
      <c r="T25" s="2246"/>
      <c r="V25" s="2842">
        <f t="shared" si="0"/>
        <v>2241.1772270277779</v>
      </c>
      <c r="W25" s="2845" t="str">
        <f t="shared" si="1"/>
        <v xml:space="preserve">Summe variable Kosten </v>
      </c>
    </row>
    <row r="26" spans="1:23" ht="16.149999999999999" customHeight="1" x14ac:dyDescent="0.25">
      <c r="A26" s="2242"/>
      <c r="B26" s="993" t="s">
        <v>687</v>
      </c>
      <c r="C26" s="638" t="s">
        <v>1079</v>
      </c>
      <c r="D26" s="994">
        <f>'FlV(b)'!K26</f>
        <v>2095.4350571499999</v>
      </c>
      <c r="E26" s="2120">
        <f>'FlV(b)'!M26</f>
        <v>2468.8937472166658</v>
      </c>
      <c r="F26" s="2129">
        <f>'FlV(b)'!O26</f>
        <v>2836.7524372833332</v>
      </c>
      <c r="G26" s="1200"/>
      <c r="H26" s="2137">
        <f>'Sbt(b)'!K26</f>
        <v>2143.1669634499995</v>
      </c>
      <c r="I26" s="998">
        <f>'Sbt(b)'!M26</f>
        <v>2511.601625516666</v>
      </c>
      <c r="J26" s="2129">
        <f>'Sbt(b)'!O26</f>
        <v>1753.4362875833322</v>
      </c>
      <c r="K26" s="1200"/>
      <c r="L26" s="2129">
        <f>'BrV(b)'!K26</f>
        <v>2054.0020017833331</v>
      </c>
      <c r="M26" s="998">
        <f>'BrV(b)'!M26</f>
        <v>2389.187071183334</v>
      </c>
      <c r="N26" s="2129">
        <f>'BrV(b)'!O26</f>
        <v>2719.7721405833327</v>
      </c>
      <c r="O26" s="2237"/>
      <c r="P26" s="2248"/>
      <c r="Q26" s="996">
        <f>'Färse(b)'!K24</f>
        <v>1334.2444586359147</v>
      </c>
      <c r="R26" s="1004">
        <f>'Färse(b)'!L24</f>
        <v>1242.6672500889267</v>
      </c>
      <c r="S26" s="995">
        <f>'Färse(b)'!M24</f>
        <v>1178.855053555593</v>
      </c>
      <c r="T26" s="2246"/>
      <c r="V26" s="2842">
        <f t="shared" si="0"/>
        <v>2330.249703527777</v>
      </c>
      <c r="W26" s="2845" t="str">
        <f t="shared" si="1"/>
        <v>Deckungsbeitrag (vor Gru.-fu)1)</v>
      </c>
    </row>
    <row r="27" spans="1:23" ht="16.350000000000001" customHeight="1" x14ac:dyDescent="0.3">
      <c r="A27" s="2242"/>
      <c r="B27" s="2116" t="s">
        <v>1510</v>
      </c>
      <c r="C27" s="638" t="s">
        <v>1079</v>
      </c>
      <c r="D27" s="575">
        <f>'FlV(b)'!K27</f>
        <v>0</v>
      </c>
      <c r="E27" s="2119">
        <f>'FlV(b)'!M27</f>
        <v>0</v>
      </c>
      <c r="F27" s="2128">
        <f>'FlV(b)'!O27</f>
        <v>0</v>
      </c>
      <c r="G27" s="1199"/>
      <c r="H27" s="2128">
        <f>'Sbt(b)'!K27</f>
        <v>0</v>
      </c>
      <c r="I27" s="2141">
        <f>'Sbt(b)'!M27</f>
        <v>0</v>
      </c>
      <c r="J27" s="2128">
        <f>'Sbt(b)'!O27</f>
        <v>0</v>
      </c>
      <c r="K27" s="1199"/>
      <c r="L27" s="2127">
        <f>'BrV(b)'!K27</f>
        <v>0</v>
      </c>
      <c r="M27" s="933">
        <f>'BrV(b)'!M27</f>
        <v>0</v>
      </c>
      <c r="N27" s="2128">
        <f>'BrV(b)'!O27</f>
        <v>0</v>
      </c>
      <c r="O27" s="2235"/>
      <c r="P27" s="2243"/>
      <c r="Q27" s="999"/>
      <c r="R27" s="2141"/>
      <c r="S27" s="1001"/>
      <c r="T27" s="2246"/>
      <c r="V27" s="2841">
        <f t="shared" si="0"/>
        <v>0</v>
      </c>
      <c r="W27" s="553" t="str">
        <f t="shared" si="1"/>
        <v>MEKA / FAKT</v>
      </c>
    </row>
    <row r="28" spans="1:23" ht="16.350000000000001" customHeight="1" x14ac:dyDescent="0.2">
      <c r="A28" s="2242"/>
      <c r="B28" s="564" t="s">
        <v>68</v>
      </c>
      <c r="C28" s="685" t="s">
        <v>1079</v>
      </c>
      <c r="D28" s="575">
        <f>'FlV(b)'!K28</f>
        <v>41.920459874999999</v>
      </c>
      <c r="E28" s="2119">
        <f>'FlV(b)'!M28</f>
        <v>27.137959875</v>
      </c>
      <c r="F28" s="2128">
        <f>'FlV(b)'!O28</f>
        <v>27.137959875</v>
      </c>
      <c r="G28" s="1199"/>
      <c r="H28" s="2128">
        <f>'Sbt(b)'!K28</f>
        <v>39.379266000000001</v>
      </c>
      <c r="I28" s="2141">
        <f>'Sbt(b)'!M28</f>
        <v>39.379266000000001</v>
      </c>
      <c r="J28" s="2128">
        <f>'Sbt(b)'!O28</f>
        <v>39.379266000000001</v>
      </c>
      <c r="K28" s="1199"/>
      <c r="L28" s="2128">
        <f>'BrV(b)'!K28</f>
        <v>40.558252500000002</v>
      </c>
      <c r="M28" s="2141">
        <f>'BrV(b)'!M28</f>
        <v>40.558252500000002</v>
      </c>
      <c r="N28" s="2128">
        <f>'BrV(b)'!O28</f>
        <v>40.558252500000002</v>
      </c>
      <c r="O28" s="2235"/>
      <c r="P28" s="2248"/>
      <c r="Q28" s="573">
        <f>'Färse(b)'!K25</f>
        <v>21.817807824000003</v>
      </c>
      <c r="R28" s="934">
        <f>'Färse(b)'!L25</f>
        <v>21.674070381886754</v>
      </c>
      <c r="S28" s="576">
        <f>'Färse(b)'!M25</f>
        <v>20.801660479866268</v>
      </c>
      <c r="T28" s="2246"/>
      <c r="V28" s="2622">
        <f t="shared" si="0"/>
        <v>37.334326124999997</v>
      </c>
      <c r="W28" s="553" t="str">
        <f t="shared" si="1"/>
        <v>Zinsansatz Vieh- u. Umlaufvermögen</v>
      </c>
    </row>
    <row r="29" spans="1:23" ht="16.350000000000001" customHeight="1" x14ac:dyDescent="0.25">
      <c r="A29" s="2242"/>
      <c r="B29" s="577" t="s">
        <v>689</v>
      </c>
      <c r="C29" s="684" t="s">
        <v>1079</v>
      </c>
      <c r="D29" s="579">
        <f>'FlV(b)'!K29</f>
        <v>2053.5145972750001</v>
      </c>
      <c r="E29" s="2123">
        <f>'FlV(b)'!M29</f>
        <v>2441.7557873416658</v>
      </c>
      <c r="F29" s="2131">
        <f>'FlV(b)'!O29</f>
        <v>2809.6144774083332</v>
      </c>
      <c r="G29" s="1203"/>
      <c r="H29" s="2138">
        <f>'Sbt(b)'!K29</f>
        <v>2103.7876974499995</v>
      </c>
      <c r="I29" s="2143">
        <f>'Sbt(b)'!M29</f>
        <v>2472.2223595166661</v>
      </c>
      <c r="J29" s="2131">
        <f>'Sbt(b)'!O29</f>
        <v>1714.0570215833322</v>
      </c>
      <c r="K29" s="1203"/>
      <c r="L29" s="2131">
        <f>'BrV(b)'!K29</f>
        <v>2013.4437492833331</v>
      </c>
      <c r="M29" s="2143">
        <f>'BrV(b)'!M29</f>
        <v>2348.628818683334</v>
      </c>
      <c r="N29" s="2131">
        <f>'BrV(b)'!O29</f>
        <v>2679.2138880833327</v>
      </c>
      <c r="O29" s="2237"/>
      <c r="P29" s="2248"/>
      <c r="Q29" s="581">
        <f>'Färse(b)'!K26</f>
        <v>1312.4266508119147</v>
      </c>
      <c r="R29" s="1011">
        <f>'Färse(b)'!L26</f>
        <v>1220.9931797070399</v>
      </c>
      <c r="S29" s="580">
        <f>'Färse(b)'!M26</f>
        <v>1158.0533930757267</v>
      </c>
      <c r="T29" s="2246"/>
      <c r="V29" s="2842">
        <f t="shared" si="0"/>
        <v>2292.9153774027777</v>
      </c>
      <c r="W29" s="2845" t="str">
        <f t="shared" si="1"/>
        <v>Deckungsbeitrag (vor Gru.-fu)2)</v>
      </c>
    </row>
    <row r="30" spans="1:23" ht="16.350000000000001" customHeight="1" x14ac:dyDescent="0.2">
      <c r="A30" s="2242"/>
      <c r="B30" s="564" t="s">
        <v>691</v>
      </c>
      <c r="C30" s="638" t="s">
        <v>1079</v>
      </c>
      <c r="D30" s="565">
        <f>'FlV(b)'!K31</f>
        <v>1027.2901902999999</v>
      </c>
      <c r="E30" s="2118">
        <f>'FlV(b)'!M31</f>
        <v>1115.4460778999999</v>
      </c>
      <c r="F30" s="2127">
        <f>'FlV(b)'!O31</f>
        <v>1198.9692935000003</v>
      </c>
      <c r="G30" s="1202"/>
      <c r="H30" s="2127">
        <f>'Sbt(b)'!K31</f>
        <v>1136.0518168999999</v>
      </c>
      <c r="I30" s="2140">
        <f>'Sbt(b)'!M31</f>
        <v>1226.1379845000004</v>
      </c>
      <c r="J30" s="2127">
        <f>'Sbt(b)'!O31</f>
        <v>1311.5914801000004</v>
      </c>
      <c r="K30" s="1202"/>
      <c r="L30" s="2127">
        <f>'BrV(b)'!K31</f>
        <v>1136.0518168999999</v>
      </c>
      <c r="M30" s="2140">
        <f>'BrV(b)'!M31</f>
        <v>1188.4975245000001</v>
      </c>
      <c r="N30" s="2127">
        <f>'BrV(b)'!O31</f>
        <v>1237.8547841000002</v>
      </c>
      <c r="O30" s="2234"/>
      <c r="P30" s="2249"/>
      <c r="Q30" s="567">
        <f>'Färse(b)'!K27</f>
        <v>1307.9680000000001</v>
      </c>
      <c r="R30" s="927">
        <f>'Färse(b)'!L27</f>
        <v>1092.0419999999999</v>
      </c>
      <c r="S30" s="568">
        <f>'Färse(b)'!M27</f>
        <v>960.43200000000002</v>
      </c>
      <c r="T30" s="2246"/>
      <c r="V30" s="2622">
        <f t="shared" si="0"/>
        <v>1175.3212187444444</v>
      </c>
      <c r="W30" s="553" t="str">
        <f t="shared" si="1"/>
        <v>Grundfutter(voll)kosten 3 )</v>
      </c>
    </row>
    <row r="31" spans="1:23" ht="16.149999999999999" customHeight="1" x14ac:dyDescent="0.25">
      <c r="A31" s="2242"/>
      <c r="B31" s="993" t="s">
        <v>692</v>
      </c>
      <c r="C31" s="638" t="s">
        <v>1079</v>
      </c>
      <c r="D31" s="994">
        <f>'FlV(b)'!K32</f>
        <v>1026.2244069750002</v>
      </c>
      <c r="E31" s="2120">
        <f>'FlV(b)'!M32</f>
        <v>1326.309709441666</v>
      </c>
      <c r="F31" s="2129">
        <f>'FlV(b)'!O32</f>
        <v>1610.6451839083329</v>
      </c>
      <c r="G31" s="1200"/>
      <c r="H31" s="2137">
        <f>'Sbt(b)'!K32</f>
        <v>967.73588054999959</v>
      </c>
      <c r="I31" s="998">
        <f>'Sbt(b)'!M32</f>
        <v>1246.0843750166657</v>
      </c>
      <c r="J31" s="2129">
        <f>'Sbt(b)'!O32</f>
        <v>402.46554148333189</v>
      </c>
      <c r="K31" s="1200"/>
      <c r="L31" s="2129">
        <f>'BrV(b)'!K32</f>
        <v>877.39193238333314</v>
      </c>
      <c r="M31" s="998">
        <f>'BrV(b)'!M32</f>
        <v>1160.1312941833339</v>
      </c>
      <c r="N31" s="2129">
        <f>'BrV(b)'!O32</f>
        <v>1441.3591039833325</v>
      </c>
      <c r="O31" s="2237"/>
      <c r="P31" s="2248"/>
      <c r="Q31" s="996">
        <f>'Färse(b)'!K28</f>
        <v>4.4586508119145947</v>
      </c>
      <c r="R31" s="1004">
        <f>'Färse(b)'!L28</f>
        <v>128.95117970703996</v>
      </c>
      <c r="S31" s="995">
        <f>'Färse(b)'!M28</f>
        <v>197.6213930757267</v>
      </c>
      <c r="T31" s="2246"/>
      <c r="V31" s="2622">
        <f t="shared" si="0"/>
        <v>1117.5941586583328</v>
      </c>
      <c r="W31" s="553" t="str">
        <f t="shared" si="1"/>
        <v>Deckungsbeitr.  nach Grundfutter4)</v>
      </c>
    </row>
    <row r="32" spans="1:23" ht="16.149999999999999" customHeight="1" x14ac:dyDescent="0.25">
      <c r="A32" s="2242"/>
      <c r="B32" s="1016" t="s">
        <v>1036</v>
      </c>
      <c r="C32" s="638" t="s">
        <v>960</v>
      </c>
      <c r="D32" s="1005">
        <f>'FlV(b)'!L32</f>
        <v>0.15788067799615388</v>
      </c>
      <c r="E32" s="2124">
        <f>'FlV(b)'!N32</f>
        <v>0.17684129459222214</v>
      </c>
      <c r="F32" s="2132">
        <f>'FlV(b)'!P32</f>
        <v>0.18948766869509798</v>
      </c>
      <c r="G32" s="1204"/>
      <c r="H32" s="2132">
        <f>'Sbt(b)'!L32</f>
        <v>0.12903145073999994</v>
      </c>
      <c r="I32" s="2144">
        <f>'Sbt(b)'!N32</f>
        <v>0.14659816176666657</v>
      </c>
      <c r="J32" s="2132">
        <f>'Sbt(b)'!P32</f>
        <v>4.2364793840350724E-2</v>
      </c>
      <c r="K32" s="1204"/>
      <c r="L32" s="2132">
        <f>'BrV(b)'!L32</f>
        <v>0.13498337421282047</v>
      </c>
      <c r="M32" s="2144">
        <f>'BrV(b)'!N32</f>
        <v>0.15468417255777786</v>
      </c>
      <c r="N32" s="2132">
        <f>'BrV(b)'!P32</f>
        <v>0.16957165929215676</v>
      </c>
      <c r="O32" s="2239"/>
      <c r="P32" s="2248"/>
      <c r="Q32" s="1007"/>
      <c r="R32" s="1008"/>
      <c r="S32" s="1006"/>
      <c r="T32" s="2246"/>
      <c r="V32" s="2523">
        <f t="shared" si="0"/>
        <v>0.14460480596591627</v>
      </c>
      <c r="W32" s="553" t="str">
        <f t="shared" si="1"/>
        <v xml:space="preserve">                 -  je kg Milch </v>
      </c>
    </row>
    <row r="33" spans="1:42" ht="16.149999999999999" customHeight="1" x14ac:dyDescent="0.25">
      <c r="A33" s="2242"/>
      <c r="B33" s="577" t="s">
        <v>625</v>
      </c>
      <c r="C33" s="684" t="s">
        <v>1079</v>
      </c>
      <c r="D33" s="1012">
        <f>'FlV(b)'!K43</f>
        <v>-723.74385969166633</v>
      </c>
      <c r="E33" s="2125">
        <f>'FlV(b)'!M43</f>
        <v>-458.65855722500055</v>
      </c>
      <c r="F33" s="2133">
        <f>'FlV(b)'!O43</f>
        <v>-209.32308275833361</v>
      </c>
      <c r="G33" s="1205"/>
      <c r="H33" s="2133">
        <f>'Sbt(b)'!K43</f>
        <v>-782.23238611666693</v>
      </c>
      <c r="I33" s="2145">
        <f>'Sbt(b)'!M43</f>
        <v>-538.88389165000081</v>
      </c>
      <c r="J33" s="2133">
        <f>'Sbt(b)'!O43</f>
        <v>-1417.5027251833346</v>
      </c>
      <c r="K33" s="1205"/>
      <c r="L33" s="2133">
        <f>'BrV(b)'!K43</f>
        <v>-872.57633428333338</v>
      </c>
      <c r="M33" s="2145">
        <f>'BrV(b)'!M43</f>
        <v>-624.8369724833326</v>
      </c>
      <c r="N33" s="2133">
        <f>'BrV(b)'!O43</f>
        <v>-378.60916268333403</v>
      </c>
      <c r="O33" s="2240"/>
      <c r="P33" s="2250"/>
      <c r="Q33" s="1014">
        <f>'Färse(b)'!K41</f>
        <v>-1130.7704325214188</v>
      </c>
      <c r="R33" s="1015">
        <f>'Färse(b)'!L41</f>
        <v>-946.54663140407115</v>
      </c>
      <c r="S33" s="1013">
        <f>'Färse(b)'!M41</f>
        <v>-816.37064581316224</v>
      </c>
      <c r="T33" s="2246"/>
      <c r="V33" s="2842">
        <f t="shared" si="0"/>
        <v>-667.37410800833368</v>
      </c>
      <c r="W33" s="2845" t="str">
        <f t="shared" si="1"/>
        <v>Kalkulator. Betriebszweigergebnis</v>
      </c>
    </row>
    <row r="34" spans="1:42" ht="16.149999999999999" customHeight="1" x14ac:dyDescent="0.25">
      <c r="A34" s="2242"/>
      <c r="B34" s="993" t="s">
        <v>1327</v>
      </c>
      <c r="C34" s="3948" t="s">
        <v>1325</v>
      </c>
      <c r="D34" s="3124">
        <f>'FlV(b)'!L55</f>
        <v>0.51668512254185694</v>
      </c>
      <c r="E34" s="3125">
        <f>'FlV(b)'!N55</f>
        <v>0.47084883497412477</v>
      </c>
      <c r="F34" s="3126">
        <f>'FlV(b)'!P55</f>
        <v>0.43748972148894272</v>
      </c>
      <c r="G34" s="3132"/>
      <c r="H34" s="3126">
        <f>'Sbt(b)'!L55</f>
        <v>0.50624899678741753</v>
      </c>
      <c r="I34" s="3127">
        <f>'Sbt(b)'!N55</f>
        <v>0.468897812694064</v>
      </c>
      <c r="J34" s="3126">
        <f>'Sbt(b)'!P55</f>
        <v>0.54726558281022197</v>
      </c>
      <c r="K34" s="3132"/>
      <c r="L34" s="3126">
        <f>'BrV(b)'!L55</f>
        <v>0.54459590225266363</v>
      </c>
      <c r="M34" s="3127">
        <f>'BrV(b)'!N55</f>
        <v>0.49808364961745305</v>
      </c>
      <c r="N34" s="3126">
        <f>'BrV(b)'!P55</f>
        <v>0.46267785792998484</v>
      </c>
      <c r="O34" s="3128"/>
      <c r="P34" s="3129"/>
      <c r="Q34" s="3130">
        <f>'Färse(b)'!K54</f>
        <v>2832.6670616633965</v>
      </c>
      <c r="R34" s="3133">
        <f>'Färse(b)'!L54</f>
        <v>2664.4261474009782</v>
      </c>
      <c r="S34" s="3131">
        <f>'Färse(b)'!M54</f>
        <v>2545.5439687791436</v>
      </c>
      <c r="T34" s="2246"/>
      <c r="V34" s="3792">
        <f>(D34+E34+F34+H34+I34+J34+L34+M34+N34)/9</f>
        <v>0.49475483123296993</v>
      </c>
      <c r="W34" s="3793" t="str">
        <f t="shared" si="1"/>
        <v>Kostendeckender Erlös (ohne. Mwst.)</v>
      </c>
    </row>
    <row r="35" spans="1:42" ht="16.149999999999999" customHeight="1" x14ac:dyDescent="0.25">
      <c r="A35" s="2242"/>
      <c r="B35" s="3120" t="str">
        <f>IF(Stammdaten!S7=1,"","dto. mit Mwst.")</f>
        <v>dto. mit Mwst.</v>
      </c>
      <c r="C35" s="3949"/>
      <c r="D35" s="1005">
        <f>IF(Stammdaten!S7=1,"",'FlV(b)'!L56)</f>
        <v>0.56577020918333332</v>
      </c>
      <c r="E35" s="2124">
        <f>IF(Stammdaten!S7=1,"",'FlV(b)'!N56)</f>
        <v>0.51557947429666662</v>
      </c>
      <c r="F35" s="2132">
        <f>IF(Stammdaten!S7=1,"",'FlV(b)'!P56)</f>
        <v>0.47905124503039226</v>
      </c>
      <c r="G35" s="1204"/>
      <c r="H35" s="2132">
        <f>IF(Stammdaten!S7=1,"",'Sbt(b)'!L56)</f>
        <v>0.55434265148222217</v>
      </c>
      <c r="I35" s="2124">
        <f>IF(Stammdaten!S7=1,"",'Sbt(b)'!N56)</f>
        <v>0.51344310490000011</v>
      </c>
      <c r="J35" s="2132">
        <f>IF(Stammdaten!S7=1,"",'Sbt(b)'!P56)</f>
        <v>0.59925581317719312</v>
      </c>
      <c r="K35" s="1204"/>
      <c r="L35" s="2132">
        <f>IF(Stammdaten!S7=1,"",'BrV(b)'!L56)</f>
        <v>0.59633251296666667</v>
      </c>
      <c r="M35" s="2124">
        <f>IF(Stammdaten!S7=1,"",'BrV(b)'!N56)</f>
        <v>0.54540159633111118</v>
      </c>
      <c r="N35" s="2132">
        <f>IF(Stammdaten!S7=1,"",'BrV(b)'!P56)</f>
        <v>0.50663225443333337</v>
      </c>
      <c r="O35" s="2239"/>
      <c r="P35" s="2250"/>
      <c r="Q35" s="3119">
        <f>IF(Stammdaten!S7=1,"",'Färse(b)'!K55)</f>
        <v>3101.770432521419</v>
      </c>
      <c r="R35" s="3134">
        <f>IF(Stammdaten!S7=1,"",'Färse(b)'!L55)</f>
        <v>2917.5466314040709</v>
      </c>
      <c r="S35" s="997">
        <f>IF(Stammdaten!S7=1,"",'Färse(b)'!M55)</f>
        <v>2787.3706458131624</v>
      </c>
      <c r="T35" s="2246"/>
      <c r="V35" s="3147">
        <f>IF(ISERROR(D35+E35+F35+H35+I35+J35+L35+M35+N35)/9,"",(D35+E35+F35+H35+I35+J35+L35+M35+N35)/9)</f>
        <v>0.54175654020010222</v>
      </c>
      <c r="W35" s="553"/>
    </row>
    <row r="36" spans="1:42" ht="16.149999999999999" customHeight="1" x14ac:dyDescent="0.25">
      <c r="A36" s="2242"/>
      <c r="B36" s="577" t="s">
        <v>1326</v>
      </c>
      <c r="C36" s="3121"/>
      <c r="D36" s="3123"/>
      <c r="E36" s="2125"/>
      <c r="F36" s="583"/>
      <c r="G36" s="3121"/>
      <c r="H36" s="3122"/>
      <c r="I36" s="2125"/>
      <c r="J36" s="583"/>
      <c r="K36" s="3121"/>
      <c r="L36" s="3122"/>
      <c r="M36" s="2125"/>
      <c r="N36" s="583"/>
      <c r="O36" s="2239"/>
      <c r="P36" s="2250"/>
      <c r="Q36" s="3122"/>
      <c r="R36" s="2125"/>
      <c r="S36" s="583"/>
      <c r="T36" s="2246"/>
      <c r="V36" s="2523"/>
      <c r="W36" s="553"/>
    </row>
    <row r="37" spans="1:42" ht="17.850000000000001" customHeight="1" x14ac:dyDescent="0.2">
      <c r="A37" s="2242"/>
      <c r="B37" s="1009" t="s">
        <v>1181</v>
      </c>
      <c r="C37" s="1010" t="s">
        <v>1096</v>
      </c>
      <c r="D37" s="585">
        <f>'FlV(b)'!K34</f>
        <v>45</v>
      </c>
      <c r="E37" s="2126">
        <f>'FlV(b)'!M34</f>
        <v>47</v>
      </c>
      <c r="F37" s="2134">
        <f>'FlV(b)'!O34</f>
        <v>49</v>
      </c>
      <c r="G37" s="1206"/>
      <c r="H37" s="2134">
        <f>'Sbt(b)'!K34</f>
        <v>45</v>
      </c>
      <c r="I37" s="2146">
        <f>'Sbt(b)'!M34</f>
        <v>47</v>
      </c>
      <c r="J37" s="2134">
        <f>'Sbt(b)'!O34</f>
        <v>49</v>
      </c>
      <c r="K37" s="1206"/>
      <c r="L37" s="2134">
        <f>'BrV(a)'!J60</f>
        <v>45</v>
      </c>
      <c r="M37" s="2146">
        <f>'BrV(b)'!M34</f>
        <v>47</v>
      </c>
      <c r="N37" s="2134">
        <f>'BrV(b)'!O34</f>
        <v>49</v>
      </c>
      <c r="O37" s="2241"/>
      <c r="P37" s="2251"/>
      <c r="Q37" s="584">
        <f>'Färse(b)'!K32</f>
        <v>24.173000000000002</v>
      </c>
      <c r="R37" s="936">
        <f>'Färse(b)'!L32</f>
        <v>23.47293333333333</v>
      </c>
      <c r="S37" s="586">
        <f>'Färse(b)'!M32</f>
        <v>22.671466666666667</v>
      </c>
      <c r="T37" s="2246"/>
      <c r="V37" s="2622">
        <f t="shared" si="0"/>
        <v>47</v>
      </c>
      <c r="W37" s="553" t="str">
        <f t="shared" si="1"/>
        <v>Arbeitszeitbedarf (ohne Futterbau)</v>
      </c>
    </row>
    <row r="38" spans="1:42" ht="17.850000000000001" customHeight="1" x14ac:dyDescent="0.2">
      <c r="A38" s="2242"/>
      <c r="B38" s="564" t="s">
        <v>1097</v>
      </c>
      <c r="C38" s="638" t="s">
        <v>1098</v>
      </c>
      <c r="D38" s="565">
        <f>'FlV(a)'!J49</f>
        <v>2487.2649999999999</v>
      </c>
      <c r="E38" s="2118">
        <f>'FlV(a)'!L49</f>
        <v>2757.8649999999998</v>
      </c>
      <c r="F38" s="2127">
        <f>'FlV(a)'!N49</f>
        <v>3028.4650000000006</v>
      </c>
      <c r="G38" s="1198"/>
      <c r="H38" s="2127">
        <f>'Sbt(a)'!J49</f>
        <v>2667.665</v>
      </c>
      <c r="I38" s="2140">
        <f>'Sbt(a)'!L49</f>
        <v>2938.2650000000003</v>
      </c>
      <c r="J38" s="2127">
        <f>'Sbt(a)'!N49</f>
        <v>3208.8650000000007</v>
      </c>
      <c r="K38" s="1198"/>
      <c r="L38" s="2127">
        <f>'BrV(a)'!J49</f>
        <v>2667.665</v>
      </c>
      <c r="M38" s="2140">
        <f>'BrV(a)'!L49</f>
        <v>2848.0650000000001</v>
      </c>
      <c r="N38" s="2127">
        <f>'BrV(a)'!N49</f>
        <v>3028.4650000000006</v>
      </c>
      <c r="O38" s="2234"/>
      <c r="P38" s="2248"/>
      <c r="Q38" s="567">
        <f>'Färse(a)'!L39</f>
        <v>3200</v>
      </c>
      <c r="R38" s="935">
        <f>'Färse(a)'!N39</f>
        <v>2700</v>
      </c>
      <c r="S38" s="566">
        <f>'Färse(a)'!P39</f>
        <v>2400</v>
      </c>
      <c r="T38" s="2246"/>
      <c r="V38" s="2622">
        <f t="shared" si="0"/>
        <v>2848.0650000000001</v>
      </c>
      <c r="W38" s="553" t="str">
        <f t="shared" si="1"/>
        <v>Grundfutterverbrauch</v>
      </c>
    </row>
    <row r="39" spans="1:42" ht="17.850000000000001" customHeight="1" x14ac:dyDescent="0.2">
      <c r="A39" s="2242"/>
      <c r="B39" s="564" t="s">
        <v>1099</v>
      </c>
      <c r="C39" s="638" t="s">
        <v>1108</v>
      </c>
      <c r="D39" s="585">
        <f>'FlV(a)'!J30+'FlV(a)'!J31+'FlV(a)'!J32</f>
        <v>20.2</v>
      </c>
      <c r="E39" s="2126">
        <f>'FlV(a)'!L30+'FlV(a)'!L31+'FlV(a)'!L32</f>
        <v>21.55</v>
      </c>
      <c r="F39" s="2134">
        <f>'FlV(a)'!N30+'FlV(a)'!N31+'FlV(a)'!N32</f>
        <v>22.9</v>
      </c>
      <c r="G39" s="1206"/>
      <c r="H39" s="2134">
        <f>'Sbt(a)'!J30+'Sbt(a)'!J31+'Sbt(a)'!J32</f>
        <v>22.7</v>
      </c>
      <c r="I39" s="2146">
        <f>'Sbt(a)'!L30+'Sbt(a)'!L31+'Sbt(a)'!L32</f>
        <v>24.05</v>
      </c>
      <c r="J39" s="2134">
        <f>'Sbt(a)'!N30+'Sbt(a)'!N31+'Sbt(a)'!N32</f>
        <v>25.4</v>
      </c>
      <c r="K39" s="1206"/>
      <c r="L39" s="2134">
        <f>'BrV(a)'!J30+'BrV(a)'!J31+'BrV(a)'!J32</f>
        <v>17.7</v>
      </c>
      <c r="M39" s="2146">
        <f>'BrV(a)'!L30+'BrV(a)'!L31+'BrV(a)'!L32</f>
        <v>20.3</v>
      </c>
      <c r="N39" s="2134">
        <f>'BrV(a)'!N30+'BrV(a)'!N31+'BrV(a)'!N32</f>
        <v>22.9</v>
      </c>
      <c r="O39" s="2241"/>
      <c r="P39" s="2248"/>
      <c r="Q39" s="584">
        <f>'Färse(a)'!L22+'Färse(a)'!L23+'Färse(a)'!L24</f>
        <v>4.4000000000000004</v>
      </c>
      <c r="R39" s="936">
        <f>'Färse(a)'!N23+'Färse(a)'!N22+'Färse(a)'!N24</f>
        <v>6.35</v>
      </c>
      <c r="S39" s="586">
        <f>'Färse(a)'!P23+'Färse(a)'!P22+'Färse(a)'!P24</f>
        <v>8.3000000000000007</v>
      </c>
      <c r="T39" s="2246"/>
      <c r="V39" s="2622">
        <f t="shared" si="0"/>
        <v>21.966666666666669</v>
      </c>
      <c r="W39" s="553" t="str">
        <f t="shared" si="1"/>
        <v>Kraftfutterverbrauch</v>
      </c>
    </row>
    <row r="40" spans="1:42" ht="17.850000000000001" customHeight="1" x14ac:dyDescent="0.2">
      <c r="A40" s="2242"/>
      <c r="B40" s="564" t="s">
        <v>629</v>
      </c>
      <c r="C40" s="638" t="s">
        <v>1109</v>
      </c>
      <c r="D40" s="585">
        <f>'FlV(a)'!J23</f>
        <v>21.5</v>
      </c>
      <c r="E40" s="2126">
        <f>'FlV(a)'!L23</f>
        <v>22</v>
      </c>
      <c r="F40" s="2134">
        <f>'FlV(a)'!N23</f>
        <v>22.5</v>
      </c>
      <c r="G40" s="1207"/>
      <c r="H40" s="2134">
        <f>'Sbt(a)'!J23</f>
        <v>22</v>
      </c>
      <c r="I40" s="2146">
        <f>'Sbt(a)'!L23</f>
        <v>22.5</v>
      </c>
      <c r="J40" s="2134">
        <f>'Sbt(a)'!N23</f>
        <v>23</v>
      </c>
      <c r="K40" s="1206"/>
      <c r="L40" s="2134">
        <f>'BrV(a)'!J23</f>
        <v>21.5</v>
      </c>
      <c r="M40" s="2146">
        <f>'BrV(a)'!L23</f>
        <v>22</v>
      </c>
      <c r="N40" s="2134">
        <f>'BrV(a)'!N23</f>
        <v>22.5</v>
      </c>
      <c r="O40" s="2241"/>
      <c r="P40" s="2243"/>
      <c r="Q40" s="584">
        <f>'Färse(a)'!L16</f>
        <v>26</v>
      </c>
      <c r="R40" s="936">
        <f>'Färse(a)'!N16</f>
        <v>24</v>
      </c>
      <c r="S40" s="586">
        <f>'Färse(a)'!P16</f>
        <v>22</v>
      </c>
      <c r="T40" s="2246"/>
      <c r="V40" s="2622">
        <f t="shared" si="0"/>
        <v>22.166666666666668</v>
      </c>
      <c r="W40" s="553" t="str">
        <f t="shared" si="1"/>
        <v>Dunganfall ( Gülle )</v>
      </c>
    </row>
    <row r="41" spans="1:42" ht="9" customHeight="1" thickBot="1" x14ac:dyDescent="0.25">
      <c r="A41" s="2242"/>
      <c r="B41" s="583"/>
      <c r="C41" s="578"/>
      <c r="D41" s="588"/>
      <c r="E41" s="930"/>
      <c r="F41" s="2135"/>
      <c r="G41" s="1208"/>
      <c r="H41" s="2138"/>
      <c r="I41" s="2147"/>
      <c r="J41" s="2138"/>
      <c r="K41" s="1209"/>
      <c r="L41" s="2138"/>
      <c r="M41" s="2147"/>
      <c r="N41" s="2138"/>
      <c r="O41" s="2235"/>
      <c r="P41" s="2243"/>
      <c r="Q41" s="2149"/>
      <c r="R41" s="2157"/>
      <c r="S41" s="2150"/>
      <c r="T41" s="2253"/>
      <c r="V41" s="2523">
        <f t="shared" si="0"/>
        <v>0</v>
      </c>
      <c r="W41" s="553">
        <f t="shared" si="1"/>
        <v>0</v>
      </c>
      <c r="X41" s="587"/>
      <c r="Y41" s="587"/>
      <c r="Z41" s="587"/>
      <c r="AA41" s="587"/>
      <c r="AB41" s="587"/>
      <c r="AC41" s="587"/>
      <c r="AD41" s="587"/>
      <c r="AE41" s="587"/>
      <c r="AF41" s="587"/>
      <c r="AG41" s="587"/>
      <c r="AH41" s="587"/>
      <c r="AI41" s="587"/>
      <c r="AJ41" s="587"/>
      <c r="AK41" s="587"/>
      <c r="AL41" s="587"/>
      <c r="AM41" s="587"/>
      <c r="AN41" s="587"/>
      <c r="AO41" s="587"/>
      <c r="AP41" s="587"/>
    </row>
    <row r="42" spans="1:42" ht="4.7" customHeight="1" thickTop="1" x14ac:dyDescent="0.2">
      <c r="A42" s="2242"/>
      <c r="B42" s="2230"/>
      <c r="C42" s="2230"/>
      <c r="D42" s="2230"/>
      <c r="E42" s="2230"/>
      <c r="F42" s="2230"/>
      <c r="G42" s="2230"/>
      <c r="H42" s="2230"/>
      <c r="I42" s="2230"/>
      <c r="J42" s="2230"/>
      <c r="K42" s="2230"/>
      <c r="L42" s="2230"/>
      <c r="M42" s="2230"/>
      <c r="N42" s="2230"/>
      <c r="O42" s="2230"/>
      <c r="P42" s="2244"/>
      <c r="Q42" s="2244"/>
      <c r="R42" s="2244"/>
      <c r="S42" s="2244"/>
      <c r="T42" s="2246"/>
      <c r="V42" s="2833">
        <f>(D34+E34+F34+H34+I34+J34+L34+M34+N34)/9</f>
        <v>0.49475483123296993</v>
      </c>
    </row>
    <row r="43" spans="1:42" ht="13.9" customHeight="1" x14ac:dyDescent="0.2">
      <c r="B43" s="553" t="s">
        <v>688</v>
      </c>
    </row>
    <row r="44" spans="1:42" ht="13.9" customHeight="1" x14ac:dyDescent="0.2">
      <c r="B44" s="553" t="s">
        <v>690</v>
      </c>
    </row>
    <row r="45" spans="1:42" ht="13.9" customHeight="1" x14ac:dyDescent="0.2">
      <c r="B45" s="553" t="str">
        <f>"3) Silomais: " &amp;ROUND(Preise!N68,2)&amp; " €/ je 10 MJ NEL /   Grassilage: "&amp;ROUND(Preise!N62,2)&amp; " € je 10 MJ NEL / Weide: "&amp;ROUND(Preise!N66,2)&amp; " € je 10 MJ NEL ( jeweils Vollkosten einschl. Flächen- und Maschinenfestkosten, Lagerraumkosten, Arbeitskosten(Lohnansatz))"</f>
        <v>3) Silomais: 0,37 €/ je 10 MJ NEL /   Grassilage: 0,46 € je 10 MJ NEL / Weide: 0,33 € je 10 MJ NEL ( jeweils Vollkosten einschl. Flächen- und Maschinenfestkosten, Lagerraumkosten, Arbeitskosten(Lohnansatz))</v>
      </c>
    </row>
    <row r="46" spans="1:42" ht="13.9" customHeight="1" x14ac:dyDescent="0.2">
      <c r="B46" s="553" t="s">
        <v>1310</v>
      </c>
    </row>
    <row r="47" spans="1:42" x14ac:dyDescent="0.2">
      <c r="B47" s="553" t="s">
        <v>1110</v>
      </c>
    </row>
  </sheetData>
  <sheetProtection sheet="1" objects="1" scenarios="1"/>
  <mergeCells count="5">
    <mergeCell ref="B2:N2"/>
    <mergeCell ref="D4:F4"/>
    <mergeCell ref="H4:J4"/>
    <mergeCell ref="L4:N4"/>
    <mergeCell ref="C34:C35"/>
  </mergeCells>
  <phoneticPr fontId="0" type="noConversion"/>
  <printOptions horizontalCentered="1" verticalCentered="1"/>
  <pageMargins left="0.47244094488188981" right="0.43307086614173229" top="0.43307086614173229" bottom="0.55118110236220474" header="0.27559055118110237" footer="0.27559055118110237"/>
  <pageSetup paperSize="9" scale="69" firstPageNumber="10" orientation="landscape" useFirstPageNumber="1" r:id="rId1"/>
  <headerFooter alignWithMargins="0">
    <oddFooter>&amp;LLEL Schwäb. Gmünd &amp;D&amp;C&amp;"Arial,Fett"&amp;P&amp;RKalkulationsdaten Milchviehhaltung; &amp;F  &amp;A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FF0000"/>
  </sheetPr>
  <dimension ref="A1:M39"/>
  <sheetViews>
    <sheetView showGridLines="0" zoomScaleNormal="90" workbookViewId="0">
      <pane ySplit="1" topLeftCell="A2" activePane="bottomLeft" state="frozen"/>
      <selection activeCell="N4" sqref="N4"/>
      <selection pane="bottomLeft"/>
    </sheetView>
  </sheetViews>
  <sheetFormatPr baseColWidth="10" defaultRowHeight="12.75" x14ac:dyDescent="0.2"/>
  <cols>
    <col min="1" max="1" width="2.5703125" customWidth="1"/>
    <col min="2" max="2" width="15.85546875" customWidth="1"/>
    <col min="7" max="7" width="5.85546875" customWidth="1"/>
    <col min="8" max="8" width="17.7109375" customWidth="1"/>
    <col min="9" max="9" width="16.85546875" customWidth="1"/>
    <col min="10" max="10" width="22.5703125" customWidth="1"/>
    <col min="11" max="11" width="1.85546875" customWidth="1"/>
  </cols>
  <sheetData>
    <row r="1" spans="1:13" ht="20.45" customHeight="1" x14ac:dyDescent="0.2">
      <c r="A1" s="2503"/>
      <c r="B1" s="2503"/>
      <c r="C1" s="2503"/>
      <c r="D1" s="2503"/>
      <c r="E1" s="2503"/>
      <c r="F1" s="2503"/>
      <c r="G1" s="2503"/>
      <c r="H1" s="2503"/>
      <c r="I1" s="2503"/>
      <c r="J1" s="2503"/>
      <c r="K1" s="2503"/>
    </row>
    <row r="2" spans="1:13" ht="21.2" customHeight="1" x14ac:dyDescent="0.2">
      <c r="A2" s="2503"/>
      <c r="K2" s="2503"/>
      <c r="M2" s="589" t="str">
        <f>IF(Stammdaten!$S$7=1,"ohne Mwst.","mit Mwst.")</f>
        <v>mit Mwst.</v>
      </c>
    </row>
    <row r="3" spans="1:13" x14ac:dyDescent="0.2">
      <c r="A3" s="2503"/>
      <c r="K3" s="2503"/>
    </row>
    <row r="4" spans="1:13" x14ac:dyDescent="0.2">
      <c r="A4" s="2503"/>
      <c r="K4" s="2503"/>
    </row>
    <row r="5" spans="1:13" x14ac:dyDescent="0.2">
      <c r="A5" s="2503"/>
      <c r="K5" s="2503"/>
    </row>
    <row r="6" spans="1:13" x14ac:dyDescent="0.2">
      <c r="A6" s="2503"/>
      <c r="K6" s="2503"/>
    </row>
    <row r="7" spans="1:13" x14ac:dyDescent="0.2">
      <c r="A7" s="2503"/>
      <c r="K7" s="2503"/>
    </row>
    <row r="8" spans="1:13" x14ac:dyDescent="0.2">
      <c r="A8" s="2503"/>
      <c r="K8" s="2503"/>
    </row>
    <row r="9" spans="1:13" x14ac:dyDescent="0.2">
      <c r="A9" s="2503"/>
      <c r="K9" s="2503"/>
    </row>
    <row r="10" spans="1:13" x14ac:dyDescent="0.2">
      <c r="A10" s="2503"/>
      <c r="K10" s="2503"/>
    </row>
    <row r="11" spans="1:13" x14ac:dyDescent="0.2">
      <c r="A11" s="2503"/>
      <c r="K11" s="2503"/>
    </row>
    <row r="12" spans="1:13" x14ac:dyDescent="0.2">
      <c r="A12" s="2503"/>
      <c r="K12" s="2503"/>
    </row>
    <row r="13" spans="1:13" x14ac:dyDescent="0.2">
      <c r="A13" s="2503"/>
      <c r="K13" s="2503"/>
    </row>
    <row r="14" spans="1:13" x14ac:dyDescent="0.2">
      <c r="A14" s="2503"/>
      <c r="K14" s="2503"/>
    </row>
    <row r="15" spans="1:13" x14ac:dyDescent="0.2">
      <c r="A15" s="2503"/>
      <c r="K15" s="2503"/>
    </row>
    <row r="16" spans="1:13" x14ac:dyDescent="0.2">
      <c r="A16" s="2503"/>
      <c r="K16" s="2503"/>
    </row>
    <row r="17" spans="1:11" x14ac:dyDescent="0.2">
      <c r="A17" s="2503"/>
      <c r="K17" s="2503"/>
    </row>
    <row r="18" spans="1:11" x14ac:dyDescent="0.2">
      <c r="A18" s="2503"/>
      <c r="K18" s="2503"/>
    </row>
    <row r="19" spans="1:11" x14ac:dyDescent="0.2">
      <c r="A19" s="2503"/>
      <c r="K19" s="2503"/>
    </row>
    <row r="20" spans="1:11" x14ac:dyDescent="0.2">
      <c r="A20" s="2503"/>
      <c r="K20" s="2503"/>
    </row>
    <row r="21" spans="1:11" x14ac:dyDescent="0.2">
      <c r="A21" s="2503"/>
      <c r="K21" s="2503"/>
    </row>
    <row r="22" spans="1:11" x14ac:dyDescent="0.2">
      <c r="A22" s="2503"/>
      <c r="K22" s="2503"/>
    </row>
    <row r="23" spans="1:11" x14ac:dyDescent="0.2">
      <c r="A23" s="2503"/>
      <c r="K23" s="2503"/>
    </row>
    <row r="24" spans="1:11" x14ac:dyDescent="0.2">
      <c r="A24" s="2503"/>
      <c r="K24" s="2503"/>
    </row>
    <row r="25" spans="1:11" x14ac:dyDescent="0.2">
      <c r="A25" s="2503"/>
      <c r="K25" s="2503"/>
    </row>
    <row r="26" spans="1:11" x14ac:dyDescent="0.2">
      <c r="A26" s="2503"/>
      <c r="K26" s="2503"/>
    </row>
    <row r="27" spans="1:11" x14ac:dyDescent="0.2">
      <c r="A27" s="2503"/>
      <c r="K27" s="2503"/>
    </row>
    <row r="28" spans="1:11" x14ac:dyDescent="0.2">
      <c r="A28" s="2503"/>
      <c r="K28" s="2503"/>
    </row>
    <row r="29" spans="1:11" x14ac:dyDescent="0.2">
      <c r="A29" s="2503"/>
      <c r="K29" s="2503"/>
    </row>
    <row r="30" spans="1:11" x14ac:dyDescent="0.2">
      <c r="A30" s="2503"/>
      <c r="K30" s="2503"/>
    </row>
    <row r="31" spans="1:11" x14ac:dyDescent="0.2">
      <c r="A31" s="2503"/>
      <c r="K31" s="2503"/>
    </row>
    <row r="32" spans="1:11" x14ac:dyDescent="0.2">
      <c r="A32" s="2503"/>
      <c r="K32" s="2503"/>
    </row>
    <row r="33" spans="1:11" x14ac:dyDescent="0.2">
      <c r="A33" s="2503"/>
      <c r="K33" s="2503"/>
    </row>
    <row r="34" spans="1:11" x14ac:dyDescent="0.2">
      <c r="A34" s="2503"/>
      <c r="K34" s="2503"/>
    </row>
    <row r="35" spans="1:11" x14ac:dyDescent="0.2">
      <c r="A35" s="2503"/>
      <c r="K35" s="2503"/>
    </row>
    <row r="36" spans="1:11" x14ac:dyDescent="0.2">
      <c r="A36" s="2503"/>
      <c r="K36" s="2503"/>
    </row>
    <row r="37" spans="1:11" x14ac:dyDescent="0.2">
      <c r="A37" s="2503"/>
      <c r="K37" s="2503"/>
    </row>
    <row r="38" spans="1:11" x14ac:dyDescent="0.2">
      <c r="A38" s="2503"/>
      <c r="K38" s="2503"/>
    </row>
    <row r="39" spans="1:11" x14ac:dyDescent="0.2">
      <c r="A39" s="2503"/>
      <c r="B39" s="2503"/>
      <c r="C39" s="2503"/>
      <c r="D39" s="2503"/>
      <c r="E39" s="2503"/>
      <c r="F39" s="2503"/>
      <c r="G39" s="2503"/>
      <c r="H39" s="2503"/>
      <c r="I39" s="2503"/>
      <c r="J39" s="2503"/>
      <c r="K39" s="2503"/>
    </row>
  </sheetData>
  <sheetProtection sheet="1" objects="1" scenarios="1"/>
  <phoneticPr fontId="0" type="noConversion"/>
  <printOptions horizontalCentered="1" verticalCentered="1"/>
  <pageMargins left="0.21" right="0.64" top="0.62992125984251968" bottom="0.78740157480314965" header="0.51181102362204722" footer="0.51181102362204722"/>
  <pageSetup paperSize="9" firstPageNumber="11" orientation="landscape" useFirstPageNumber="1" r:id="rId1"/>
  <headerFooter alignWithMargins="0">
    <oddFooter xml:space="preserve">&amp;LLEL Schwäb. Gmünd &amp;D&amp;C&amp;"Arial,Fett"&amp;P&amp;RKalkulationsdaten Milchviehhaltung; &amp;F  &amp;A  </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27</vt:i4>
      </vt:variant>
    </vt:vector>
  </HeadingPairs>
  <TitlesOfParts>
    <vt:vector size="57" baseType="lpstr">
      <vt:lpstr>Tab1</vt:lpstr>
      <vt:lpstr>Deckbl</vt:lpstr>
      <vt:lpstr>Inhalt</vt:lpstr>
      <vt:lpstr>Hinweise</vt:lpstr>
      <vt:lpstr>Stammdaten</vt:lpstr>
      <vt:lpstr>Preise</vt:lpstr>
      <vt:lpstr>Ausgleichsleistungen</vt:lpstr>
      <vt:lpstr>DB-Übersicht</vt:lpstr>
      <vt:lpstr>Grafik-DB</vt:lpstr>
      <vt:lpstr>Grafik-Kost.deck.Erlös</vt:lpstr>
      <vt:lpstr>Grafik-DB-Färse</vt:lpstr>
      <vt:lpstr>FlV(a)</vt:lpstr>
      <vt:lpstr>FlV(b)</vt:lpstr>
      <vt:lpstr>FlV(Fol)</vt:lpstr>
      <vt:lpstr>Sbt(a)</vt:lpstr>
      <vt:lpstr>Sbt(b)</vt:lpstr>
      <vt:lpstr>Sbt(Fol)</vt:lpstr>
      <vt:lpstr>BrV(a)</vt:lpstr>
      <vt:lpstr>BrV(b)</vt:lpstr>
      <vt:lpstr>BrV(Fol)</vt:lpstr>
      <vt:lpstr>Färse(a)</vt:lpstr>
      <vt:lpstr>Färse(b)</vt:lpstr>
      <vt:lpstr>Färse(Fol)</vt:lpstr>
      <vt:lpstr>Strukturentwicklung</vt:lpstr>
      <vt:lpstr>Preisstatistik</vt:lpstr>
      <vt:lpstr>Preisstatistik (2)</vt:lpstr>
      <vt:lpstr>Kalkulationshilfen</vt:lpstr>
      <vt:lpstr>_Fu_bau_mit_Mwst</vt:lpstr>
      <vt:lpstr>Fu_bau_ohne_Mwst</vt:lpstr>
      <vt:lpstr>Fu_bau_differenz_Mwst</vt:lpstr>
      <vt:lpstr>Ausgleichsleistungen!Druckbereich</vt:lpstr>
      <vt:lpstr>'BrV(a)'!Druckbereich</vt:lpstr>
      <vt:lpstr>'BrV(b)'!Druckbereich</vt:lpstr>
      <vt:lpstr>'BrV(Fol)'!Druckbereich</vt:lpstr>
      <vt:lpstr>'DB-Übersicht'!Druckbereich</vt:lpstr>
      <vt:lpstr>Deckbl!Druckbereich</vt:lpstr>
      <vt:lpstr>'Färse(a)'!Druckbereich</vt:lpstr>
      <vt:lpstr>'Färse(b)'!Druckbereich</vt:lpstr>
      <vt:lpstr>'Färse(Fol)'!Druckbereich</vt:lpstr>
      <vt:lpstr>'FlV(a)'!Druckbereich</vt:lpstr>
      <vt:lpstr>'FlV(b)'!Druckbereich</vt:lpstr>
      <vt:lpstr>'FlV(Fol)'!Druckbereich</vt:lpstr>
      <vt:lpstr>'Grafik-DB'!Druckbereich</vt:lpstr>
      <vt:lpstr>'Grafik-DB-Färse'!Druckbereich</vt:lpstr>
      <vt:lpstr>'Grafik-Kost.deck.Erlös'!Druckbereich</vt:lpstr>
      <vt:lpstr>Hinweise!Druckbereich</vt:lpstr>
      <vt:lpstr>Inhalt!Druckbereich</vt:lpstr>
      <vt:lpstr>Kalkulationshilfen!Druckbereich</vt:lpstr>
      <vt:lpstr>Preise!Druckbereich</vt:lpstr>
      <vt:lpstr>Preisstatistik!Druckbereich</vt:lpstr>
      <vt:lpstr>'Preisstatistik (2)'!Druckbereich</vt:lpstr>
      <vt:lpstr>'Sbt(a)'!Druckbereich</vt:lpstr>
      <vt:lpstr>'Sbt(b)'!Druckbereich</vt:lpstr>
      <vt:lpstr>'Sbt(Fol)'!Druckbereich</vt:lpstr>
      <vt:lpstr>Stammdaten!Druckbereich</vt:lpstr>
      <vt:lpstr>Strukturentwicklung!Druckbereich</vt:lpstr>
      <vt:lpstr>'DB-Übersicht'!Drucktitel</vt:lpstr>
    </vt:vector>
  </TitlesOfParts>
  <Manager>Dr. V. Segger / K. Krieg</Manager>
  <Company>LEL Schwäbisch Gmünd;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Kalkulationsdaten Tierhaltung</dc:title>
  <dc:subject>Deckungsbeiträge / Vollkosten / Milchkühe/Färsenaufzucht</dc:subject>
  <dc:creator>LEL Schwäbisch Gmünd (Abt. 2)</dc:creator>
  <cp:keywords>Milchkuh,Kostenrechnung, Deckungsbeitrag, kalkulatorisches Betriebszweigergebnis</cp:keywords>
  <dc:description>Die Kalkulationsdaten enthalten Faustzahlen zur betriebswirtschaftlichen Bewertung des Produktionsverfahrens Milchkuh, sowie Färsenaufzucht. Sie dienen als Entscheidungsgrundlage  bei der Betriebsplanung, in Betriebsverbesserungsplänen oder in betriebswirtschaftlichen Schätzungen und Gutachten. _x000d_
Mit der EXCEL-Anwendung sind auch eigene Berechnungen und Simulationen möglich</dc:description>
  <cp:lastModifiedBy>Schroeder, Gudrun (LEL-SG)</cp:lastModifiedBy>
  <cp:lastPrinted>2016-08-08T08:35:11Z</cp:lastPrinted>
  <dcterms:created xsi:type="dcterms:W3CDTF">1999-02-26T09:37:29Z</dcterms:created>
  <dcterms:modified xsi:type="dcterms:W3CDTF">2022-10-20T07:52:30Z</dcterms:modified>
</cp:coreProperties>
</file>